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6B2B46B3-6535-4335-B8B1-CCE4F13E5A3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Нормы расчет" sheetId="2" r:id="rId1"/>
    <sheet name="нормативы ОС" sheetId="6" r:id="rId2"/>
    <sheet name="нормативы канцелярия" sheetId="9" r:id="rId3"/>
    <sheet name="нормативы хозяйственные" sheetId="10" r:id="rId4"/>
  </sheets>
  <definedNames>
    <definedName name="_xlnm.Print_Area" localSheetId="2">'нормативы канцелярия'!$A$1:$H$119</definedName>
    <definedName name="_xlnm.Print_Area" localSheetId="1">'нормативы ОС'!$A$1:$G$65</definedName>
    <definedName name="_xlnm.Print_Area" localSheetId="3">'нормативы хозяйственные'!$A$1:$G$110</definedName>
    <definedName name="_xlnm.Print_Area" localSheetId="0">'Нормы расчет'!$A$1:$J$476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D375" i="2"/>
  <c r="D336" i="2"/>
  <c r="D331" i="2"/>
  <c r="D330" i="2"/>
  <c r="D324" i="2"/>
  <c r="D323" i="2"/>
  <c r="F314" i="2"/>
  <c r="F307" i="2"/>
  <c r="E180" i="2"/>
  <c r="E179" i="2"/>
  <c r="E178" i="2"/>
  <c r="E177" i="2"/>
  <c r="D165" i="2"/>
  <c r="C77" i="2"/>
  <c r="C78" i="2"/>
  <c r="C82" i="2"/>
  <c r="C81" i="2"/>
  <c r="C80" i="2"/>
  <c r="C79" i="2"/>
  <c r="D60" i="2"/>
  <c r="D59" i="2"/>
  <c r="C44" i="2"/>
  <c r="D34" i="2"/>
  <c r="D33" i="2"/>
  <c r="D25" i="2"/>
  <c r="D11" i="2"/>
  <c r="F455" i="2" l="1"/>
  <c r="F454" i="2"/>
  <c r="F453" i="2"/>
  <c r="F452" i="2"/>
  <c r="F405" i="2" l="1"/>
  <c r="E359" i="2"/>
  <c r="G89" i="10" l="1"/>
  <c r="G87" i="10"/>
  <c r="G82" i="10"/>
  <c r="G68" i="10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G62" i="10"/>
  <c r="G61" i="10"/>
  <c r="G56" i="10"/>
  <c r="G24" i="10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H74" i="9"/>
  <c r="H73" i="9"/>
  <c r="D450" i="2" l="1"/>
  <c r="D448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238" i="2" l="1"/>
  <c r="D229" i="2"/>
  <c r="D228" i="2"/>
  <c r="D227" i="2"/>
  <c r="D226" i="2"/>
  <c r="D225" i="2"/>
  <c r="D224" i="2"/>
  <c r="D222" i="2"/>
  <c r="D208" i="2"/>
  <c r="D207" i="2"/>
  <c r="D206" i="2"/>
  <c r="D205" i="2"/>
  <c r="D204" i="2"/>
  <c r="D203" i="2"/>
  <c r="E198" i="2"/>
  <c r="E197" i="2"/>
  <c r="E196" i="2"/>
  <c r="E195" i="2"/>
  <c r="E193" i="2"/>
  <c r="E192" i="2"/>
  <c r="E190" i="2"/>
  <c r="E189" i="2"/>
  <c r="E188" i="2"/>
  <c r="E187" i="2"/>
  <c r="E186" i="2"/>
  <c r="D166" i="2" l="1"/>
  <c r="D161" i="2"/>
  <c r="D160" i="2"/>
  <c r="D159" i="2"/>
  <c r="D158" i="2"/>
  <c r="D157" i="2"/>
  <c r="D156" i="2"/>
  <c r="D155" i="2"/>
  <c r="D154" i="2"/>
  <c r="D153" i="2"/>
  <c r="D152" i="2"/>
  <c r="D151" i="2"/>
  <c r="D150" i="2"/>
  <c r="D148" i="2"/>
  <c r="D147" i="2"/>
  <c r="D146" i="2"/>
  <c r="D145" i="2"/>
  <c r="D144" i="2"/>
  <c r="D143" i="2"/>
  <c r="D142" i="2"/>
  <c r="D141" i="2"/>
  <c r="D140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E98" i="2"/>
  <c r="E97" i="2"/>
  <c r="D90" i="2"/>
  <c r="D89" i="2"/>
  <c r="D58" i="2"/>
  <c r="D54" i="2"/>
  <c r="D53" i="2"/>
  <c r="D52" i="2"/>
  <c r="D51" i="2"/>
  <c r="D44" i="2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8" i="10"/>
  <c r="F86" i="10"/>
  <c r="F85" i="10"/>
  <c r="F84" i="10"/>
  <c r="F83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7" i="10"/>
  <c r="F66" i="10"/>
  <c r="F65" i="10"/>
  <c r="F64" i="10"/>
  <c r="F63" i="10"/>
  <c r="F60" i="10"/>
  <c r="F59" i="10"/>
  <c r="F58" i="10"/>
  <c r="F57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C307" i="2" l="1"/>
  <c r="C314" i="2"/>
  <c r="G311" i="2" l="1"/>
  <c r="E347" i="2" l="1"/>
  <c r="F331" i="2"/>
  <c r="F330" i="2"/>
  <c r="D294" i="2"/>
  <c r="E294" i="2" s="1"/>
  <c r="D293" i="2"/>
  <c r="E293" i="2" s="1"/>
  <c r="E280" i="2"/>
  <c r="E279" i="2"/>
  <c r="E278" i="2"/>
  <c r="E277" i="2"/>
  <c r="E261" i="2"/>
  <c r="E254" i="2"/>
  <c r="E295" i="2" l="1"/>
  <c r="G290" i="2" s="1"/>
  <c r="F332" i="2"/>
  <c r="G327" i="2" s="1"/>
  <c r="E281" i="2"/>
  <c r="G274" i="2" s="1"/>
  <c r="E99" i="2"/>
  <c r="D301" i="2" l="1"/>
  <c r="D106" i="2"/>
  <c r="F447" i="2" l="1"/>
  <c r="F450" i="2"/>
  <c r="F449" i="2"/>
  <c r="F448" i="2"/>
  <c r="E405" i="2"/>
  <c r="G393" i="2" s="1"/>
  <c r="E358" i="2"/>
  <c r="F456" i="2" l="1"/>
  <c r="G443" i="2" s="1"/>
  <c r="E360" i="2"/>
  <c r="G355" i="2" s="1"/>
  <c r="E238" i="2"/>
  <c r="E239" i="2" s="1"/>
  <c r="G235" i="2" s="1"/>
  <c r="D287" i="2" l="1"/>
  <c r="D286" i="2"/>
  <c r="E287" i="2" l="1"/>
  <c r="E286" i="2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8" i="10"/>
  <c r="G86" i="10"/>
  <c r="G85" i="10"/>
  <c r="G84" i="10"/>
  <c r="G83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7" i="10"/>
  <c r="G66" i="10"/>
  <c r="G65" i="10"/>
  <c r="G64" i="10"/>
  <c r="G63" i="10"/>
  <c r="G60" i="10"/>
  <c r="G59" i="10"/>
  <c r="G58" i="10"/>
  <c r="G57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E423" i="2"/>
  <c r="E422" i="2"/>
  <c r="E421" i="2"/>
  <c r="E420" i="2"/>
  <c r="E419" i="2"/>
  <c r="E418" i="2"/>
  <c r="E417" i="2"/>
  <c r="E416" i="2"/>
  <c r="E415" i="2"/>
  <c r="E414" i="2"/>
  <c r="E413" i="2"/>
  <c r="E412" i="2"/>
  <c r="E375" i="2"/>
  <c r="E336" i="2"/>
  <c r="G334" i="2" s="1"/>
  <c r="E260" i="2"/>
  <c r="E262" i="2" s="1"/>
  <c r="E208" i="2"/>
  <c r="E207" i="2"/>
  <c r="E206" i="2"/>
  <c r="E205" i="2"/>
  <c r="E204" i="2"/>
  <c r="E203" i="2"/>
  <c r="F198" i="2"/>
  <c r="F197" i="2"/>
  <c r="F196" i="2"/>
  <c r="F195" i="2"/>
  <c r="F192" i="2"/>
  <c r="F190" i="2"/>
  <c r="F189" i="2"/>
  <c r="F186" i="2"/>
  <c r="E106" i="2"/>
  <c r="E140" i="2"/>
  <c r="E141" i="2"/>
  <c r="E142" i="2"/>
  <c r="E143" i="2"/>
  <c r="E144" i="2"/>
  <c r="E145" i="2"/>
  <c r="E146" i="2"/>
  <c r="E147" i="2"/>
  <c r="E148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05" i="2"/>
  <c r="E90" i="2"/>
  <c r="C83" i="2"/>
  <c r="G107" i="10" l="1"/>
  <c r="G109" i="10" s="1"/>
  <c r="G110" i="10" s="1"/>
  <c r="C440" i="2" s="1"/>
  <c r="H115" i="9"/>
  <c r="H117" i="9" s="1"/>
  <c r="H119" i="9" s="1"/>
  <c r="D434" i="2" s="1"/>
  <c r="E288" i="2"/>
  <c r="G283" i="2" s="1"/>
  <c r="E424" i="2"/>
  <c r="G410" i="2" s="1"/>
  <c r="F199" i="2"/>
  <c r="E209" i="2"/>
  <c r="G201" i="2" s="1"/>
  <c r="C172" i="2" s="1"/>
  <c r="E162" i="2"/>
  <c r="G124" i="2" s="1"/>
  <c r="E60" i="2" l="1"/>
  <c r="E59" i="2"/>
  <c r="E58" i="2"/>
  <c r="E61" i="2" l="1"/>
  <c r="E253" i="2" l="1"/>
  <c r="E255" i="2" s="1"/>
  <c r="E104" i="2" l="1"/>
  <c r="E107" i="2" s="1"/>
  <c r="E166" i="2"/>
  <c r="G41" i="2"/>
  <c r="G101" i="2" l="1"/>
  <c r="F11" i="2"/>
  <c r="G8" i="2" s="1"/>
  <c r="G298" i="2" l="1"/>
  <c r="E271" i="2"/>
  <c r="E269" i="2"/>
  <c r="E270" i="2"/>
  <c r="E268" i="2"/>
  <c r="E376" i="2" l="1"/>
  <c r="G372" i="2" s="1"/>
  <c r="G367" i="2" s="1"/>
  <c r="E272" i="2"/>
  <c r="G265" i="2" s="1"/>
  <c r="E434" i="2" l="1"/>
  <c r="E229" i="2"/>
  <c r="E228" i="2"/>
  <c r="E227" i="2"/>
  <c r="E226" i="2"/>
  <c r="E225" i="2"/>
  <c r="E224" i="2"/>
  <c r="E222" i="2"/>
  <c r="E230" i="2" l="1"/>
  <c r="B218" i="2" l="1"/>
  <c r="G220" i="2"/>
  <c r="D123" i="2" l="1"/>
  <c r="G119" i="2" s="1"/>
  <c r="D118" i="2"/>
  <c r="G114" i="2" s="1"/>
  <c r="E34" i="2"/>
  <c r="E33" i="2"/>
  <c r="F323" i="2" l="1"/>
  <c r="E54" i="2"/>
  <c r="G94" i="2" l="1"/>
  <c r="G93" i="2" s="1"/>
  <c r="F180" i="2"/>
  <c r="G30" i="2"/>
  <c r="E89" i="2"/>
  <c r="E91" i="2" s="1"/>
  <c r="G86" i="2" s="1"/>
  <c r="G305" i="2" l="1"/>
  <c r="G303" i="2" s="1"/>
  <c r="G406" i="2" l="1"/>
  <c r="F177" i="2"/>
  <c r="F324" i="2"/>
  <c r="F325" i="2" s="1"/>
  <c r="G320" i="2" s="1"/>
  <c r="G383" i="2" l="1"/>
  <c r="E435" i="2" l="1"/>
  <c r="G431" i="2" s="1"/>
  <c r="D440" i="2"/>
  <c r="D441" i="2" s="1"/>
  <c r="G437" i="2" s="1"/>
  <c r="G381" i="2"/>
  <c r="E364" i="2"/>
  <c r="E365" i="2" s="1"/>
  <c r="G361" i="2" s="1"/>
  <c r="E346" i="2"/>
  <c r="E348" i="2" s="1"/>
  <c r="G343" i="2" l="1"/>
  <c r="G428" i="2"/>
  <c r="G257" i="2"/>
  <c r="G234" i="2"/>
  <c r="G319" i="2" l="1"/>
  <c r="G317" i="2" s="1"/>
  <c r="G245" i="2"/>
  <c r="G243" i="2" s="1"/>
  <c r="G251" i="2"/>
  <c r="G248" i="2" s="1"/>
  <c r="F25" i="2" l="1"/>
  <c r="G22" i="2" s="1"/>
  <c r="G18" i="2" l="1"/>
  <c r="G19" i="2" l="1"/>
  <c r="G13" i="2" s="1"/>
  <c r="E53" i="2"/>
  <c r="F178" i="2"/>
  <c r="F179" i="2"/>
  <c r="G7" i="2" l="1"/>
  <c r="F181" i="2"/>
  <c r="G174" i="2" s="1"/>
  <c r="B172" i="2" s="1"/>
  <c r="D218" i="2"/>
  <c r="G215" i="2"/>
  <c r="G213" i="2" s="1"/>
  <c r="G212" i="2" s="1"/>
  <c r="E165" i="2"/>
  <c r="E167" i="2" s="1"/>
  <c r="G163" i="2" l="1"/>
  <c r="D172" i="2" l="1"/>
  <c r="G169" i="2"/>
  <c r="G113" i="2" s="1"/>
  <c r="G84" i="2" l="1"/>
  <c r="G75" i="2" l="1"/>
  <c r="C73" i="2"/>
  <c r="G69" i="2" s="1"/>
  <c r="B67" i="2" s="1"/>
  <c r="G64" i="2" l="1"/>
  <c r="G63" i="2" s="1"/>
  <c r="E52" i="2"/>
  <c r="E51" i="2"/>
  <c r="E55" i="2" l="1"/>
  <c r="E37" i="2"/>
  <c r="G48" i="2" l="1"/>
  <c r="G29" i="2" s="1"/>
  <c r="G5" i="2" s="1"/>
  <c r="G476" i="2" s="1"/>
</calcChain>
</file>

<file path=xl/sharedStrings.xml><?xml version="1.0" encoding="utf-8"?>
<sst xmlns="http://schemas.openxmlformats.org/spreadsheetml/2006/main" count="1280" uniqueCount="806">
  <si>
    <t>Чоп</t>
  </si>
  <si>
    <t>Расчетная численность основных работников</t>
  </si>
  <si>
    <t>Фактическое количество рабочих станций</t>
  </si>
  <si>
    <t>Предельное количество рабочих станций</t>
  </si>
  <si>
    <t>ИТОГО</t>
  </si>
  <si>
    <t>Итого</t>
  </si>
  <si>
    <t>Коэффициент</t>
  </si>
  <si>
    <t>Цена технического обслуживания и регламентно-профилактическое обслуживание в расчете на 1 единицу в год</t>
  </si>
  <si>
    <t xml:space="preserve">Затраты на техническое обслуживание и регламентно-профилактический ремонт локальных вычислительных сетей </t>
  </si>
  <si>
    <t>Затраты на техническое обслуживание и регламентно-профилактический ремонт автоматизированных телефонных станций</t>
  </si>
  <si>
    <t>1.3.</t>
  </si>
  <si>
    <t>1.4.</t>
  </si>
  <si>
    <t xml:space="preserve">Количество </t>
  </si>
  <si>
    <t>2.1.</t>
  </si>
  <si>
    <t>Затраты на оплату услуг по сопровождению программного обеспечения и приобретению простых (неисключительных) лицензий на использование программного обеспечения</t>
  </si>
  <si>
    <t>Затраты на оплату услуг по сопровождению справочно-правовых систем</t>
  </si>
  <si>
    <t>Затраты на оплату услуг по сопровождению и приобретению иного программного обеспечения</t>
  </si>
  <si>
    <t>2.1.1.</t>
  </si>
  <si>
    <t>Справочно-правовая система</t>
  </si>
  <si>
    <t>Цена сопровождения справочно-правовой системы</t>
  </si>
  <si>
    <t>Цена сопровождения программного обеспечения</t>
  </si>
  <si>
    <t>Программное обеспечение</t>
  </si>
  <si>
    <t>Система «Электронная отчетность»</t>
  </si>
  <si>
    <t xml:space="preserve">Затраты на оплату услуг, связанных с обеспечением безопасности информации </t>
  </si>
  <si>
    <t>Количество приобретаемых простых (неисключительных) лицензий на использование  программного обеспечения по защите информации</t>
  </si>
  <si>
    <t>Цена единицы простой (неисключительной) лицензии на использованиепрограммного обеспечения по защите информации</t>
  </si>
  <si>
    <t xml:space="preserve">Затраты на приобретение рабочих станций </t>
  </si>
  <si>
    <t>Затраты на приобретение принтеров, многофункциональных устройств и копировальных аппаратов (оргтехники)</t>
  </si>
  <si>
    <t>Цена приобретения за 1 шт</t>
  </si>
  <si>
    <t xml:space="preserve">Затраты на приобретение планшетных компьютеров </t>
  </si>
  <si>
    <t xml:space="preserve">Затраты на приобретение мониторов </t>
  </si>
  <si>
    <t xml:space="preserve">Затраты на приобретение системных блоков  </t>
  </si>
  <si>
    <t xml:space="preserve">Затраты на приобретение других запасных частей для вычислительной техники  </t>
  </si>
  <si>
    <t xml:space="preserve">Планируемое к приобретению количество </t>
  </si>
  <si>
    <t>Цена за единицу</t>
  </si>
  <si>
    <t>Затраты на приобретение магнитных и оптических носителей информации</t>
  </si>
  <si>
    <t>Затраты на приобретение деталей для содержания принтеров, многофункциональных устройств и копировальных аппаратов (оргтехники)</t>
  </si>
  <si>
    <t xml:space="preserve">Затраты на приобретение расходных материалов для принтеров, многофункциональных устройств и копировальных аппаратов (оргтехники) </t>
  </si>
  <si>
    <t>Затраты на приобретение запасных частей для принтеров, многофункциональных устройств и копировальных аппаратов (оргтехники)</t>
  </si>
  <si>
    <t>Фактическое количество принтеров, многофункциональных устройств и копировальных аппаратов</t>
  </si>
  <si>
    <t xml:space="preserve">Норматив потребления расходных материалов </t>
  </si>
  <si>
    <t xml:space="preserve">Затраты на оплату услуг почтовой связи </t>
  </si>
  <si>
    <t>Планируемое количество почтовых отправлений в год</t>
  </si>
  <si>
    <t>1.1.1.</t>
  </si>
  <si>
    <t>Затраты на услуги связи</t>
  </si>
  <si>
    <t>1.</t>
  </si>
  <si>
    <t xml:space="preserve"> Затраты на информационно-коммуникационные технологии</t>
  </si>
  <si>
    <t>1.1.</t>
  </si>
  <si>
    <t xml:space="preserve">Затраты на абонентскую плату </t>
  </si>
  <si>
    <t>Количество абонентских номеров пользовательского (оконечного) оборудования</t>
  </si>
  <si>
    <t>Ежемесячная абонентская плата в расчете на 1 абонентский номер для передачи голосовой информации</t>
  </si>
  <si>
    <t xml:space="preserve">Количество месяцев предоставления услуги </t>
  </si>
  <si>
    <t>1.1.2.</t>
  </si>
  <si>
    <t>Затраты на повременную оплату местных, междугородних и международных телефонных соединений</t>
  </si>
  <si>
    <t>Междугородние  телефонные соединения</t>
  </si>
  <si>
    <t>Продолжительность  телефонных соединений в месяц в расчете на 1 абонентский номер</t>
  </si>
  <si>
    <t xml:space="preserve">Цена минуты разговора </t>
  </si>
  <si>
    <t>безлимитные</t>
  </si>
  <si>
    <t xml:space="preserve">Местные телефонные соединения </t>
  </si>
  <si>
    <t xml:space="preserve">Внутризоновые телефонные соединения </t>
  </si>
  <si>
    <t xml:space="preserve">Затраты на приобретение горюче-смазочных материалов </t>
  </si>
  <si>
    <t xml:space="preserve">Затраты на приобретение полисов обязательного страхования гражданской ответственности владельцев транспортных средств </t>
  </si>
  <si>
    <t>1.1.4.</t>
  </si>
  <si>
    <t>Затраты на передачу данных с использованием информационно-телекоммуникационной сети "Интернет" (далее - сеть "Интернет") и услуги интернет-провайдеров для планшетных компьютеров</t>
  </si>
  <si>
    <t>1.1.5.</t>
  </si>
  <si>
    <t xml:space="preserve">Затраты на сеть "Интернет" и услуги интернет-провайдеров </t>
  </si>
  <si>
    <t>Количество каналов передачи данных сети "Интернет"</t>
  </si>
  <si>
    <t>Месячная цена аренды канала передачи данных сети "Интернет"</t>
  </si>
  <si>
    <t>1.1.6.</t>
  </si>
  <si>
    <t>Затраты на оплату услуг по предоставлению цифровых потоков для коммутируемых телефонных соединений</t>
  </si>
  <si>
    <t>1.1.7.</t>
  </si>
  <si>
    <t xml:space="preserve">Затраты на оплату иных услуг связи в сфере информационно-коммуникационных технологий </t>
  </si>
  <si>
    <t>1.2.</t>
  </si>
  <si>
    <t>Затраты на содержание имущества</t>
  </si>
  <si>
    <t>1.2.1.</t>
  </si>
  <si>
    <t>1.2.2.</t>
  </si>
  <si>
    <t xml:space="preserve">Затраты на техническое обслуживание и регламентно-профилактический ремонт оборудования по обеспечению безопасности информации </t>
  </si>
  <si>
    <t>1.2.3.</t>
  </si>
  <si>
    <t>1.2.4.</t>
  </si>
  <si>
    <t>1.2.5.</t>
  </si>
  <si>
    <t xml:space="preserve">Затраты на техническое обслуживание и регламентно-профилактический ремонт систем бесперебойного питания  </t>
  </si>
  <si>
    <t>1.2.6.</t>
  </si>
  <si>
    <t>Затраты на приобретение прочих работ и услуг, не относящиеся к затратам на услуги связи, аренду и содержание имущества</t>
  </si>
  <si>
    <t>1.3.1.</t>
  </si>
  <si>
    <t>1.3.1.1.</t>
  </si>
  <si>
    <t>1.3.1.2.</t>
  </si>
  <si>
    <t>1.3.2.</t>
  </si>
  <si>
    <t xml:space="preserve">Затраты на проведение аттестационных, проверочных и контрольных мероприятий </t>
  </si>
  <si>
    <t>1.3.2.1.</t>
  </si>
  <si>
    <t>1.3.2.2.</t>
  </si>
  <si>
    <t xml:space="preserve">Затраты на приобретение простых (неисключительных) лицензий на использование программного обеспечения по защите информации </t>
  </si>
  <si>
    <t>Затраты на приобретение основных средств</t>
  </si>
  <si>
    <t>1.4.1.</t>
  </si>
  <si>
    <t>1.4.2.</t>
  </si>
  <si>
    <t>1.4.3.</t>
  </si>
  <si>
    <t xml:space="preserve">Затраты на приобретение средств подвижной связи </t>
  </si>
  <si>
    <t>1.4.4.</t>
  </si>
  <si>
    <t xml:space="preserve">Затраты на приобретение оборудования по обеспечению безопасности информации </t>
  </si>
  <si>
    <t>1.4.5.</t>
  </si>
  <si>
    <t>1.5.</t>
  </si>
  <si>
    <t>Затраты на приобретение материальных запасов</t>
  </si>
  <si>
    <t>1.5.1.</t>
  </si>
  <si>
    <t>1.5.2.</t>
  </si>
  <si>
    <t>1.5.3.</t>
  </si>
  <si>
    <t>1.5.4.</t>
  </si>
  <si>
    <t>1.5.5.</t>
  </si>
  <si>
    <t>1.5.5.1.</t>
  </si>
  <si>
    <t>1.5.5.2.</t>
  </si>
  <si>
    <t>1.5.6.</t>
  </si>
  <si>
    <t>2.</t>
  </si>
  <si>
    <t>Затраты на услуги связи, не отнесенные к затратам на услуги связи в рамках затрат на информационно-коммуникационные технологии</t>
  </si>
  <si>
    <t xml:space="preserve"> Прочие затраты</t>
  </si>
  <si>
    <t xml:space="preserve">Затраты на услуги связи </t>
  </si>
  <si>
    <t>2.1.1.1.</t>
  </si>
  <si>
    <t>Затраты на оплату услуг почтовой связи</t>
  </si>
  <si>
    <t>Затраты на оплату услуг специальной связи (при наличии)</t>
  </si>
  <si>
    <t>2.1.1.2.</t>
  </si>
  <si>
    <t xml:space="preserve">Затраты на оплату услуг специальной связи (при наличии) </t>
  </si>
  <si>
    <t>Затраты на транспортные услуги</t>
  </si>
  <si>
    <t>2.2.</t>
  </si>
  <si>
    <t>2.2.1.</t>
  </si>
  <si>
    <t>2.2.2.</t>
  </si>
  <si>
    <t>2.2.3.</t>
  </si>
  <si>
    <t>Затраты по договору об оказании услуг перевозки (транспортировки) грузов</t>
  </si>
  <si>
    <t xml:space="preserve">Затраты на оплату услуг аренды транспортных средств </t>
  </si>
  <si>
    <t xml:space="preserve">Затраты на оплату разовых услуг пассажирских перевозок при проведении совещания </t>
  </si>
  <si>
    <t>2.2.4.</t>
  </si>
  <si>
    <t>Затраты на оплату проезда работника к месту нахождения учебного заведения и обратно</t>
  </si>
  <si>
    <t>2.3.</t>
  </si>
  <si>
    <t>Затраты на оплату расходов по договорам об оказании услуг,  связанных с проездом и наймом жилого помещения в связи с командированием работников, заключаемым со сторонними организациями</t>
  </si>
  <si>
    <t>2.3.1.</t>
  </si>
  <si>
    <t>Затраты на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</t>
  </si>
  <si>
    <t>2.3.1.1.</t>
  </si>
  <si>
    <t xml:space="preserve">Затраты по договору на проезд к месту командирования и обратно </t>
  </si>
  <si>
    <t>2.3.1.2.</t>
  </si>
  <si>
    <t>Затраты по договору на найм жилого помещения на период командирования</t>
  </si>
  <si>
    <t>Затраты на коммунальные услуги</t>
  </si>
  <si>
    <t>2.4.</t>
  </si>
  <si>
    <t>2.4.1.</t>
  </si>
  <si>
    <t xml:space="preserve">Затраты на газоснабжение и иные виды топлива </t>
  </si>
  <si>
    <t>2.4.2.</t>
  </si>
  <si>
    <t xml:space="preserve">Затраты на электроснабжение </t>
  </si>
  <si>
    <t xml:space="preserve">Регулируемый тариф на электроэнергию </t>
  </si>
  <si>
    <t>Расчетная потребность электроэнергии в год</t>
  </si>
  <si>
    <t>2.4.3.</t>
  </si>
  <si>
    <t xml:space="preserve">Затраты на теплоснабжение </t>
  </si>
  <si>
    <t xml:space="preserve">Регулируемый тариф на теплоснабжение </t>
  </si>
  <si>
    <t>Расчетная потребность в теплоэнергии</t>
  </si>
  <si>
    <t>2.4.4.</t>
  </si>
  <si>
    <t>Затраты на горячее водоснабжение</t>
  </si>
  <si>
    <t>2.4.5.</t>
  </si>
  <si>
    <t xml:space="preserve">Затраты на холодное водоснабжение и водоотведение </t>
  </si>
  <si>
    <t xml:space="preserve">Регулируемый тариф </t>
  </si>
  <si>
    <t>Расчетная потребность</t>
  </si>
  <si>
    <t xml:space="preserve">Затраты на оплату услуг внештатных сотрудников </t>
  </si>
  <si>
    <t>2.4.6.</t>
  </si>
  <si>
    <t>Затраты на аренду помещений и оборудования</t>
  </si>
  <si>
    <t>2.5.</t>
  </si>
  <si>
    <t>2.5.1.</t>
  </si>
  <si>
    <t xml:space="preserve">Затраты на аренду помещений </t>
  </si>
  <si>
    <t xml:space="preserve">Затраты на аренду помещения (зала) для проведения совещания </t>
  </si>
  <si>
    <t>2.5.2.</t>
  </si>
  <si>
    <t>2.5.3.</t>
  </si>
  <si>
    <t xml:space="preserve">Затраты на аренду оборудования для проведения совещания </t>
  </si>
  <si>
    <t>2.6.</t>
  </si>
  <si>
    <t>Затраты на содержание имущества, не отнесенные к затратам на содержание имущества в рамках затрат на информационно-коммуникационные технологии</t>
  </si>
  <si>
    <t>2.6.1.</t>
  </si>
  <si>
    <t xml:space="preserve">Затраты на содержание и техническое обслуживание помещений </t>
  </si>
  <si>
    <t>2.6.1.1.</t>
  </si>
  <si>
    <t xml:space="preserve">Затраты на закупку услуг управляющей компании </t>
  </si>
  <si>
    <t>Площадь помещения, кв. м.</t>
  </si>
  <si>
    <t>Цена услуги управляющей компании в месяц</t>
  </si>
  <si>
    <t>Планируемое количество месяцев использования услуги управляющей компании</t>
  </si>
  <si>
    <t>2.6.1.2.</t>
  </si>
  <si>
    <t xml:space="preserve">Затраты на техническое обслуживание и регламентно-профилактический ремонт систем охранно-тревожной сигнализации </t>
  </si>
  <si>
    <t xml:space="preserve">Затраты на проведение текущего ремонта помещения </t>
  </si>
  <si>
    <t>включены в общую стоимость комплексных услуг управляющей компании</t>
  </si>
  <si>
    <t>2.6.1.3.</t>
  </si>
  <si>
    <t xml:space="preserve">Затраты на содержание прилегающей территории </t>
  </si>
  <si>
    <t>2.6.1.4.</t>
  </si>
  <si>
    <t>2.6.1.5.</t>
  </si>
  <si>
    <t xml:space="preserve">Затраты на оплату услуг по обслуживанию и уборке помещения </t>
  </si>
  <si>
    <t xml:space="preserve">Затраты на вывоз твердых бытовых отходов </t>
  </si>
  <si>
    <t>Количество куб. метров твердых бытовых отходов в год</t>
  </si>
  <si>
    <t>Цена вывоза 1 куб. метра твердых бытовых отходов</t>
  </si>
  <si>
    <t>2.6.1.6.</t>
  </si>
  <si>
    <t>2.6.1.7.</t>
  </si>
  <si>
    <t>Затраты на техническое обслуживание и регламентно-профилактический ремонт лифтов</t>
  </si>
  <si>
    <t>2.6.1.8.</t>
  </si>
  <si>
    <t xml:space="preserve">Затраты на техническое обслуживание и регламентно-профилактический ремонт водонапорной насосной станции хозяйственно-питьевого и противопожарного водоснабжения </t>
  </si>
  <si>
    <t>2.6.1.9.</t>
  </si>
  <si>
    <t>Затраты на техническое обслуживание и регламентно-профилактический ремонт водонапорной насосной станции пожаротушения</t>
  </si>
  <si>
    <t>2.6.1.10.</t>
  </si>
  <si>
    <t>Затраты на техническое обслуживание и регламентно-профилактический ремонт индивидуального теплового пункта, в том числе на подготовку отопительной системы к зимнему сезону</t>
  </si>
  <si>
    <t>2.6.1.11.</t>
  </si>
  <si>
    <t>Затраты на техническое обслуживание и регламентно-профилактический ремонт электрооборудования</t>
  </si>
  <si>
    <t>2.6.2.</t>
  </si>
  <si>
    <t xml:space="preserve">Затраты на техническое обслуживание и ремонт транспортных средств  </t>
  </si>
  <si>
    <t>Фактические затраты в отчетном финансовом году</t>
  </si>
  <si>
    <t>Индекс инфляции</t>
  </si>
  <si>
    <t>2.6.3.</t>
  </si>
  <si>
    <t>Затраты на техническое обслуживание и регламентно-профилактический ремонт бытового оборудования</t>
  </si>
  <si>
    <t>Ремонт бытовой техники</t>
  </si>
  <si>
    <t>2.6.4.</t>
  </si>
  <si>
    <t>Затраты на техническое обслуживание и регламентно-профилактический ремонт иного оборудования</t>
  </si>
  <si>
    <t>2.6.4.1.</t>
  </si>
  <si>
    <t>Затраты на техническое обслуживание и регламентно-профилактический ремонт дизельных генераторных установок</t>
  </si>
  <si>
    <t>2.6.4.2.</t>
  </si>
  <si>
    <t>Затраты на техническое обслуживание и регламентно-профилактический ремонт системы газового пожаротушения</t>
  </si>
  <si>
    <t>2.6.4.3.</t>
  </si>
  <si>
    <t xml:space="preserve">Затраты на техническое обслуживание и регламентно-профилактический ремонт систем кондиционирования и вентиляции </t>
  </si>
  <si>
    <t xml:space="preserve">Затраты на техническое обслуживание и регламентно-профилактический ремонт систем пожарной сигнализации </t>
  </si>
  <si>
    <t>2.6.4.4.</t>
  </si>
  <si>
    <t>2.6.4.5.</t>
  </si>
  <si>
    <t xml:space="preserve">Затраты на техническое обслуживание и регламентно-профилактический ремонт систем контроля и управления доступом </t>
  </si>
  <si>
    <t>2.6.4.6.</t>
  </si>
  <si>
    <t xml:space="preserve">Затраты на техническое обслуживание и регламентно-профилактический ремонт систем автоматического диспетчерского управления </t>
  </si>
  <si>
    <t>2.6.4.7.</t>
  </si>
  <si>
    <t xml:space="preserve">Затраты на техническое обслуживание и регламентно-профилактический ремонт систем видеонаблюдения </t>
  </si>
  <si>
    <t>2.7.</t>
  </si>
  <si>
    <t>Затраты на приобретение прочих работ и услуг, не относящиеся к затратам на услуги связи, транспортные  услуги, оплату расходов по договорам об оказании услуг, связанных с проездом и наймом жилого помещения в связи с командированием работников, заключаемым со сторонними организациями, а также к затратам на коммунальные услуги, аренду помещений и оборудования, содержание имущества в рамках прочих затрат и затратам на приобретение прочих работ и услуг в рамках затрат на информационно-коммуникационные технологии</t>
  </si>
  <si>
    <t>2.7.1.</t>
  </si>
  <si>
    <t>Затраты на оплату типографских работ и услуг</t>
  </si>
  <si>
    <t>2.7.1.1.</t>
  </si>
  <si>
    <t xml:space="preserve">Затраты на приобретение спецжурналов </t>
  </si>
  <si>
    <t>2.7.1.2.</t>
  </si>
  <si>
    <t>Затраты на приобретение информационных услуг, которые включают в себя затраты на приобретение периодических печатных изданий, справочной литературы, а также подачу объявлений в печатные издания</t>
  </si>
  <si>
    <t>2.7.2.</t>
  </si>
  <si>
    <t>2.7.3.</t>
  </si>
  <si>
    <t>Затраты на проведение предрейсового и послерейсового осмотра водителей транспортных средств</t>
  </si>
  <si>
    <t>2.7.4.</t>
  </si>
  <si>
    <t>Затраты на аттестацию специальных помещений</t>
  </si>
  <si>
    <t>2.7.5.</t>
  </si>
  <si>
    <t xml:space="preserve">Затраты на проведение диспансеризации работников </t>
  </si>
  <si>
    <t>2.7.6.</t>
  </si>
  <si>
    <t xml:space="preserve">Затраты на оплату работ по монтажу (установке), дооборудованию и наладке оборудования </t>
  </si>
  <si>
    <t>2.7.7.</t>
  </si>
  <si>
    <t xml:space="preserve">Затраты на оплату услуг вневедомственной охраны </t>
  </si>
  <si>
    <t>2.7.8.</t>
  </si>
  <si>
    <t>2.8.</t>
  </si>
  <si>
    <t>Затраты на приобретение основных средств, не отнесенные к затратам на приобретение основных средств в рамках затрат на информационно-коммуникационные технологии</t>
  </si>
  <si>
    <t>2.8.1.</t>
  </si>
  <si>
    <t>2.8.1.1.</t>
  </si>
  <si>
    <t xml:space="preserve">Затраты на приобретение транспортных средств </t>
  </si>
  <si>
    <t>2.8.1.2.</t>
  </si>
  <si>
    <t xml:space="preserve">Затраты на приобретение мебели </t>
  </si>
  <si>
    <t>2.8.1.3.</t>
  </si>
  <si>
    <t>Затраты на приобретение систем кондиционирования</t>
  </si>
  <si>
    <t>№ п/п</t>
  </si>
  <si>
    <t>Наименование</t>
  </si>
  <si>
    <t>Количество</t>
  </si>
  <si>
    <t>Срок эксплуатации  в годах</t>
  </si>
  <si>
    <t>Предельная цена за 1 единицу, в руб.</t>
  </si>
  <si>
    <t>Ноутбук</t>
  </si>
  <si>
    <t>Не более 1 единицы на 1 работника</t>
  </si>
  <si>
    <t>Планшетный компьютер</t>
  </si>
  <si>
    <t xml:space="preserve">Принтер черно-белый </t>
  </si>
  <si>
    <t>Не более 30000 рублей включительно за 1 единицу</t>
  </si>
  <si>
    <t>Не более 2 единиц  на  организацию</t>
  </si>
  <si>
    <t>Не более 70000 рублей включительно за 1 единицу</t>
  </si>
  <si>
    <t>Не более 15000 рублей включительно за 1 единицу</t>
  </si>
  <si>
    <t>Телефон мобильный</t>
  </si>
  <si>
    <t xml:space="preserve">Многофункциональное устройство А4, </t>
  </si>
  <si>
    <t xml:space="preserve">Многофункциональное устройство А3, копировальный аппарат </t>
  </si>
  <si>
    <t>Нормативы, применяемые при расчете нормативных затрат на приобретение основных средств (информационно-коммуникационные)</t>
  </si>
  <si>
    <t xml:space="preserve">
Нормативы, применяемые при расчете нормативных затрат на приобретение мебели</t>
  </si>
  <si>
    <t>№п/п</t>
  </si>
  <si>
    <t xml:space="preserve">Наименование </t>
  </si>
  <si>
    <t>Единица измерения</t>
  </si>
  <si>
    <t>Срок полезной эксплуатации в годах</t>
  </si>
  <si>
    <t>Цена приобретения в рублях</t>
  </si>
  <si>
    <t>Стол руководителя</t>
  </si>
  <si>
    <t>Не более 1 единицы</t>
  </si>
  <si>
    <t>Брифинг-приставка</t>
  </si>
  <si>
    <t>Шкаф металлический</t>
  </si>
  <si>
    <t xml:space="preserve">Не более  20000  рублей включительно за 1 единицу </t>
  </si>
  <si>
    <t>Кресло руководителя</t>
  </si>
  <si>
    <t xml:space="preserve">Диван </t>
  </si>
  <si>
    <t xml:space="preserve">Не более   50000  рублей включительно за 1 единицу </t>
  </si>
  <si>
    <t>Конференц-стулья</t>
  </si>
  <si>
    <t>Не более 10 штук</t>
  </si>
  <si>
    <t xml:space="preserve">Не более   5000 рублей  включительно за 1 единицу </t>
  </si>
  <si>
    <t>Не более 5 штук</t>
  </si>
  <si>
    <t>Не более   15000 рублей  включительно за 1 единицу</t>
  </si>
  <si>
    <t>Сейф металлический</t>
  </si>
  <si>
    <t>Не более   25000 рублей  включительно за 1 единицу</t>
  </si>
  <si>
    <t>Не более 1 единицы на сотрудника</t>
  </si>
  <si>
    <t>Стол приставной</t>
  </si>
  <si>
    <t xml:space="preserve">Не более   3500  рублей включительно за 1 единицу </t>
  </si>
  <si>
    <t>Не более 2 единиц на сотрудника</t>
  </si>
  <si>
    <t>Угловая полка</t>
  </si>
  <si>
    <t xml:space="preserve">Не более  4000  рублей включительно за 1 единицу </t>
  </si>
  <si>
    <t>Тумба под оргтехнику</t>
  </si>
  <si>
    <t>Кресло рабочее</t>
  </si>
  <si>
    <t xml:space="preserve">Шкаф металлический </t>
  </si>
  <si>
    <t>Металлический  сейф</t>
  </si>
  <si>
    <t>Не более 1 единицы на кабинет</t>
  </si>
  <si>
    <t xml:space="preserve">Не более 25000  рублей включительно за 1 единицу </t>
  </si>
  <si>
    <t>Не более   1100  рублей включительно за 1 единицу</t>
  </si>
  <si>
    <t>Тумба под телевизор</t>
  </si>
  <si>
    <t>3.</t>
  </si>
  <si>
    <t>Описание</t>
  </si>
  <si>
    <t>Сумма</t>
  </si>
  <si>
    <t>Штука</t>
  </si>
  <si>
    <t>Упаковка</t>
  </si>
  <si>
    <t>Бумага для офисной техники А4 , пачка 500 л.</t>
  </si>
  <si>
    <t>Бумага цветная А4, 4 цвета, пачка 200 л.</t>
  </si>
  <si>
    <t>Количество на 1 человека в год</t>
  </si>
  <si>
    <t>Затраты на приобретение материальных запасов, не отнесенные к затратам на приобретение материальных запасов в рамках затрат на информационно-коммуникационные технологии</t>
  </si>
  <si>
    <t>2.9.</t>
  </si>
  <si>
    <t>2.9.1.</t>
  </si>
  <si>
    <t>Затраты на приобретение бланочной продукции</t>
  </si>
  <si>
    <t xml:space="preserve">Затраты на приобретение канцелярских принадлежностей </t>
  </si>
  <si>
    <t>Цена предмета канцелярских принадлежностей в соответствии с нормативами муниципальных органов</t>
  </si>
  <si>
    <t xml:space="preserve">Набор канцелярских предметов </t>
  </si>
  <si>
    <t xml:space="preserve">
Нормативы, применяемые при расчете нормативных затрат на приобретение канцелярских принадлежностей</t>
  </si>
  <si>
    <t>Набор канцелярских предметов (в соответствии с приложением)</t>
  </si>
  <si>
    <t>2.9.2.</t>
  </si>
  <si>
    <t>2.9.3.</t>
  </si>
  <si>
    <t>Затраты на приобретение хозяйственных товаров и принадлежностей</t>
  </si>
  <si>
    <t xml:space="preserve"> При необходимости сотрудники обеспечиваются предметами, не указанными в настоящем приложении, но не более чем на сумму, превышающую 10% от стоимости набора канцелярских принадлежностей</t>
  </si>
  <si>
    <t>Уп.</t>
  </si>
  <si>
    <t>Шт.</t>
  </si>
  <si>
    <t>Пара</t>
  </si>
  <si>
    <t>Количество на организацию в год</t>
  </si>
  <si>
    <t>Набор хозяйственных товаров и принадлежностей</t>
  </si>
  <si>
    <t>4.</t>
  </si>
  <si>
    <t>При необходимости сотрудники обеспечиваются предметами, не указанными в настоящем приложении, но не более чем на сумму, превышающую 10% от стоимости набора хозяйственных товаров и принадлежностей</t>
  </si>
  <si>
    <t>Набор хозяйственных товаров и принадлежностей (в соответствии с приложением)</t>
  </si>
  <si>
    <t>Цена предмета хозяйственных товаров и принадлежностей в соответствии с нормативами муниципальных органов</t>
  </si>
  <si>
    <t>2.9.4.</t>
  </si>
  <si>
    <t xml:space="preserve">Затраты на приобретение запасных частей для транспортных средств </t>
  </si>
  <si>
    <t>2.9.5.</t>
  </si>
  <si>
    <t>2.9.6.</t>
  </si>
  <si>
    <t xml:space="preserve">Затраты на приобретение материальных запасов для нужд гражданской обороны </t>
  </si>
  <si>
    <t>Затраты на капитальный ремонт муниципального имущества</t>
  </si>
  <si>
    <t>3.1.</t>
  </si>
  <si>
    <t>3.2.</t>
  </si>
  <si>
    <t>3.3.</t>
  </si>
  <si>
    <t>Затраты на строительные работы, осуществляемые в рамках капитального ремонта</t>
  </si>
  <si>
    <t>Затраты на разработку проектной документации</t>
  </si>
  <si>
    <t>4.1.</t>
  </si>
  <si>
    <t>4.2.</t>
  </si>
  <si>
    <t>Затраты на финансовое обеспечение строительства, реконструкции (в том числе с элементами реставрации), технического перевооружения объектов капитального строительства</t>
  </si>
  <si>
    <t xml:space="preserve">Затраты на финансовое обеспечение строительства, реконструкции (в том числе с элементами реставрации), технического перевооружения объектов капитального строительства </t>
  </si>
  <si>
    <t xml:space="preserve">Затраты на приобретение объектов недвижимого имущества </t>
  </si>
  <si>
    <t>5.</t>
  </si>
  <si>
    <t>5.1.</t>
  </si>
  <si>
    <t>Затраты на дополнительное профессиональное образование</t>
  </si>
  <si>
    <t>Затраты на приобретение образовательных услуг по профессиональной переподготовке и повышению квалификации</t>
  </si>
  <si>
    <t>ИТОГО ВСЕХ НОРМАТИВНЫХ ЗАТРАТ</t>
  </si>
  <si>
    <t>Приложение 1</t>
  </si>
  <si>
    <t>Приложение 2</t>
  </si>
  <si>
    <t>Приложение 3</t>
  </si>
  <si>
    <t>Цена приобретения соответствии с Приложением 1</t>
  </si>
  <si>
    <t>Нормативы, применяемые при расчете нормативных затрат на приобретение хозяйственных товаров и принадлежностей</t>
  </si>
  <si>
    <t>Затраты на приобретение материальных запасов по обеспечению безопасности информации</t>
  </si>
  <si>
    <t>Epson L 800 цветной</t>
  </si>
  <si>
    <t xml:space="preserve">Принтер LaserJet P1102 </t>
  </si>
  <si>
    <t>Наименование затрат</t>
  </si>
  <si>
    <t>Наименование оргтехники</t>
  </si>
  <si>
    <t>Наименование носителя информации</t>
  </si>
  <si>
    <t>Кол-во кварталов в год</t>
  </si>
  <si>
    <t xml:space="preserve">МФУ LaserJet M1132 MFP (HPCE285A) </t>
  </si>
  <si>
    <t>Принтер LaserJet P1102 (КартриджQ2612A)</t>
  </si>
  <si>
    <t>Антивирус</t>
  </si>
  <si>
    <t>Canon I-SENSYS MF416dw</t>
  </si>
  <si>
    <t>Цена технического обслуживания в расчете на 1 рабочую станцию в год</t>
  </si>
  <si>
    <t xml:space="preserve">Фильтр для воды сменный для кувшина </t>
  </si>
  <si>
    <t>Жилищные услуги 1 п/г</t>
  </si>
  <si>
    <t>Жилищные услуги 2 п/г</t>
  </si>
  <si>
    <t>Стоимость всего</t>
  </si>
  <si>
    <t>Затраты на техническое обслуживание и регламентно-профилактический ремонт вычислительной техники</t>
  </si>
  <si>
    <t>Персональный компьютер</t>
  </si>
  <si>
    <t>Количество автоматизированных телефонных станций</t>
  </si>
  <si>
    <t>Затраты на техническое обслуживание и регламентно-профилактический ремонт принтеров, многофункциональных устройств и копировальных аппаратов (оргтехники)</t>
  </si>
  <si>
    <t>Приобретение мониторов производится с целью замены неисправных, входящих в состав рабочих станций. Допускается закупка мониторов для создания резерва с целью обеспечения непрерывности работы из расчета в год не более 5% от общего количества рабочих станций.</t>
  </si>
  <si>
    <t xml:space="preserve">Планируемое к приобретению количество мониторов </t>
  </si>
  <si>
    <t>Цена приобретенияи  в соответствии с Приложением 1</t>
  </si>
  <si>
    <t>Приобретение системных блоков  производится с целью замены неисправных, входящих в состав рабочих станций. Допускается закупка мониторов для создания резерва с целью обеспечения непрерывности работы из расчета в год не более 5% от общего количества рабочих станций.</t>
  </si>
  <si>
    <t xml:space="preserve">Планируемое к приобретению количество системных блоков  </t>
  </si>
  <si>
    <t>Системный блок</t>
  </si>
  <si>
    <t>Комплект Мышь+ клавиатура</t>
  </si>
  <si>
    <t>Процессор</t>
  </si>
  <si>
    <t>Материнская плата</t>
  </si>
  <si>
    <t>Оперативная память</t>
  </si>
  <si>
    <t>Накопитель SSD</t>
  </si>
  <si>
    <t>Накопитель HDD</t>
  </si>
  <si>
    <t>Блок питания</t>
  </si>
  <si>
    <t>Процессорный кулер</t>
  </si>
  <si>
    <t>Матрица экрана</t>
  </si>
  <si>
    <t>Клавиатура</t>
  </si>
  <si>
    <t>Корпус ноутбука</t>
  </si>
  <si>
    <t>Динамики</t>
  </si>
  <si>
    <t>Система охлаждения</t>
  </si>
  <si>
    <t>Цена 1  почтового отправления</t>
  </si>
  <si>
    <t>Конверт почтовый с маркой</t>
  </si>
  <si>
    <t>Марка почтовая</t>
  </si>
  <si>
    <t>номинал 1 р-   100 р</t>
  </si>
  <si>
    <t>Письмо заказное</t>
  </si>
  <si>
    <t>Водоотведение, 1 п/г</t>
  </si>
  <si>
    <t>Водоотведение, 2 п/г</t>
  </si>
  <si>
    <t>Холодное водоснабжение, 1 п/г</t>
  </si>
  <si>
    <t>Холодное водоснабжение, 2 п/г</t>
  </si>
  <si>
    <t>Планируемое количество месяцев работы внештатного сотрудника</t>
  </si>
  <si>
    <t>Стоимость 1 месяца работы внештатного сотрудника</t>
  </si>
  <si>
    <t>Процентная ставка страховых взносов в государственные внебюджетные фонды</t>
  </si>
  <si>
    <t xml:space="preserve">Затраты по договорам гражданско-правового характера, предметом которых является оказание физическим лицом коммунальных услуг </t>
  </si>
  <si>
    <t xml:space="preserve">Количествообслуживаемых устройств </t>
  </si>
  <si>
    <t>Цена обслуживания 1  устройства</t>
  </si>
  <si>
    <t>Антистеплер</t>
  </si>
  <si>
    <t>Блокнот (спираль) А5</t>
  </si>
  <si>
    <t>Бумага для заметок с клейким краем, 38*51 мм,  100 листов.</t>
  </si>
  <si>
    <t>Бумага для заметок с клейким краем, 76*76 мм,  100 листов.</t>
  </si>
  <si>
    <t>Пачка</t>
  </si>
  <si>
    <t>Дизайн-бумага А4, пачка 20 листов</t>
  </si>
  <si>
    <t>Дырокол</t>
  </si>
  <si>
    <t>Зажим для бумаг 15 мм, 12 шт. в упак.</t>
  </si>
  <si>
    <t>Зажим для бумаг 25 мм, 12 шт. в упак.</t>
  </si>
  <si>
    <t>Карандаш простой с ластиком</t>
  </si>
  <si>
    <t xml:space="preserve">Книга бухгалтерская 48 л клетка  </t>
  </si>
  <si>
    <t xml:space="preserve">Книга бухгалтерская 96 л клетка  </t>
  </si>
  <si>
    <t>Настольный набор, 15 предметов, вращающийся</t>
  </si>
  <si>
    <t>Подушка штемпельная сменная</t>
  </si>
  <si>
    <t xml:space="preserve">Точилка с контейнером </t>
  </si>
  <si>
    <t>Рулон</t>
  </si>
  <si>
    <t>Батарейка литиевая CR2032, (таблетка)</t>
  </si>
  <si>
    <t>Батарейка литиевая CR2025, (таблетка)</t>
  </si>
  <si>
    <t>Лампа накаливания, мощность 75Вт, прозрачная колба, цоколь Е27.</t>
  </si>
  <si>
    <t xml:space="preserve">Кувшин для фильтрования воды </t>
  </si>
  <si>
    <t>Ручка дверная в сборе</t>
  </si>
  <si>
    <t>Ключ дверной</t>
  </si>
  <si>
    <t>Розетка электр.  с рамкой</t>
  </si>
  <si>
    <t>Гофра для унитаза</t>
  </si>
  <si>
    <t>Клапан заливной для унитаза</t>
  </si>
  <si>
    <t>Замок дверной, цилиндровый механизм</t>
  </si>
  <si>
    <t>Крепежные изделия (саморезы, болты, гайки, гвозди)</t>
  </si>
  <si>
    <t xml:space="preserve">         ИТОГО</t>
  </si>
  <si>
    <t xml:space="preserve"> 10-200</t>
  </si>
  <si>
    <t>Категория должностей</t>
  </si>
  <si>
    <t xml:space="preserve">Моноблок </t>
  </si>
  <si>
    <t>Системный блок и монитор</t>
  </si>
  <si>
    <t>Индекс изменения размера ставки арендной платы</t>
  </si>
  <si>
    <t xml:space="preserve">Флеш-память </t>
  </si>
  <si>
    <t>Компакт диски перезаписываем CD-R</t>
  </si>
  <si>
    <t>Принтер черно-белый</t>
  </si>
  <si>
    <t>МФУ LaserJet M1132 MFP (КартриджHPCE285A)</t>
  </si>
  <si>
    <t>Epson L 800 (6 цв по отдельности)</t>
  </si>
  <si>
    <t>Лента клейкая (скотч) канцелярская прозрачная от 19 х 33 мм, шт.</t>
  </si>
  <si>
    <t>Жидкость корректирующая(штрих) быстросохнущая 20 мл</t>
  </si>
  <si>
    <t>Конверт немаркированный 110*220 мм</t>
  </si>
  <si>
    <t>Накопитель вертикальный пластиковый черный ширина 160 мм</t>
  </si>
  <si>
    <t xml:space="preserve">Разделитель листов пластиковый (12 листов) </t>
  </si>
  <si>
    <t>Разделитель листов картонный (100 листов)</t>
  </si>
  <si>
    <t>Бокс для бумаги прозрачный 90х90х50 мм</t>
  </si>
  <si>
    <t>Бокс для бумаги прозрачный 90х90х90 мм</t>
  </si>
  <si>
    <t>Бумага для цветной лазерной печати (А4, плотность 220 г/кв), 250 листов</t>
  </si>
  <si>
    <t>Бумага для фотопечати  А4, пачка</t>
  </si>
  <si>
    <t>Журнал для учета</t>
  </si>
  <si>
    <t>Брелок/пульт управления воротами</t>
  </si>
  <si>
    <t>Губка для мытья посуды с абразивным слоем</t>
  </si>
  <si>
    <t xml:space="preserve">Ершик для туалета пластик </t>
  </si>
  <si>
    <t>Ершик для туалета металлический</t>
  </si>
  <si>
    <t>Перчатки трикотажные с латексным покрытием</t>
  </si>
  <si>
    <t>Подводка гибкая</t>
  </si>
  <si>
    <t>Удлинитель сетевой, 3 м (от 5 розеток)</t>
  </si>
  <si>
    <t>Удлинитель сетевой, 5 м (от 5 розеток)</t>
  </si>
  <si>
    <t>Фильтр сетевой от 5 розеток 5 метров</t>
  </si>
  <si>
    <t>Хомут (стяжка) пластиковый (100 штук)</t>
  </si>
  <si>
    <t>Уп</t>
  </si>
  <si>
    <t xml:space="preserve">Программа 1С Бухгалтерия </t>
  </si>
  <si>
    <t>Программа 1С Зарплата и кадры</t>
  </si>
  <si>
    <t>Примечание</t>
  </si>
  <si>
    <t>оригинальный</t>
  </si>
  <si>
    <t>Закладки клейкие цветные пластик</t>
  </si>
  <si>
    <t>Карандаш механический 0,5 мм с резиновой манжеткой  в черном/синем корпусе с ластиком</t>
  </si>
  <si>
    <t>Накопитель вертикальный пластиковый черный ширина 70-90 мм</t>
  </si>
  <si>
    <t>Папка-регистратор с арочным механизмом ширина 50-55 мм, материал внешнего покрытия пластик, внутреннего - бумага, металлическая защита нижнего края, с карманом на корешке, синий цвет</t>
  </si>
  <si>
    <t>Папка-регистратор с арочным механизмом ширина 70-75 мм, материал внешнего покрытия пластик, внутреннего - бумага, металлическая защита нижнего края, с карманом на корешке, синий цвет</t>
  </si>
  <si>
    <t>Папка-скоросшиватель с пружинным механизмом А4, 0,7мм-0,8мм</t>
  </si>
  <si>
    <t>Папка-скоросшиватель Дело № картонная А4, до 200 листов</t>
  </si>
  <si>
    <t>Папка файловая на 20 файлов А4, ширина корешка 15 мм, толщ материаа 700 мкм</t>
  </si>
  <si>
    <t>Папка файловая на 40 файлов А4, ширина корешка 20 мм, толщ материаа 700 мкм</t>
  </si>
  <si>
    <t>Папка-уголок А4, 180 мкм плотность</t>
  </si>
  <si>
    <t>Ручка гелевая автоматическая, толщина линии 0,5-0,7 мм, корпус прозрачный пластик, с резиновой манжетой</t>
  </si>
  <si>
    <t>Ручка шариковая масляная автоматическая, толщина линии 0,32 мм, корпус прозрачный пластик, с резиновой манжетой и пластиковой клипсой</t>
  </si>
  <si>
    <t>Ручка шариковая масляная автоматическая, толщина линии 0,32 мм, диаметр шарика 0,7мм, корпус прозрачный пластик, с резиновой манжетой, металлический наконечник и металлическая клипса</t>
  </si>
  <si>
    <t>Ручка шариковая неавтоматическая, толщина линии 0,5-1 мм, диаметр шарика 0,7мм, корпус прозрачный пластик, колпачек</t>
  </si>
  <si>
    <t>Стержень для шариковой масляной автоматической ручки 0,32 мм, длина стержня 98мм</t>
  </si>
  <si>
    <t>Скобы для степлера №10  1000 шт в уп</t>
  </si>
  <si>
    <t>Скобы для степлера №24/6 1000 шт в уп</t>
  </si>
  <si>
    <t>Скрепки металлические никелированные 50 мм Бабочка (12 шт в упаковке)</t>
  </si>
  <si>
    <t xml:space="preserve">Скрепки металлические овальные оцинкованные 50 мм (50шт в уп) </t>
  </si>
  <si>
    <t xml:space="preserve">Скрепки металлические овальные оцинкованные 28 мм (100шт в уп) </t>
  </si>
  <si>
    <t>Степлер до 10 листов, тип скоб 10</t>
  </si>
  <si>
    <t>Степлер до 30 листов, тип скоб 24/6</t>
  </si>
  <si>
    <t>Скрепочница магнитная пластиковая шт.</t>
  </si>
  <si>
    <t>Арматура сливная в сборе, для унитаза комплект</t>
  </si>
  <si>
    <t>Лампа светодиодная, мощность 9-15Вт, цоколь Е27.</t>
  </si>
  <si>
    <t>Насадка для швабры губчатая</t>
  </si>
  <si>
    <t>Перчатки латексные повышенной прочности, многоцелевые, материал основы: латекс, тип манжеты: срез зубцами</t>
  </si>
  <si>
    <t xml:space="preserve">Перчатки трикотажные </t>
  </si>
  <si>
    <t>Перчатки трикотажные с ПВХ точками</t>
  </si>
  <si>
    <t>Салфетка хозяйственная универсальная, вискоза</t>
  </si>
  <si>
    <t>Салфетка хозяйственная для стекол и зеркал 30х30 см, микрофибра, шт.</t>
  </si>
  <si>
    <t>Салфетка хозяйственная губчатая, челлюлоза, для влажной уборки. (3шт в упаковке)</t>
  </si>
  <si>
    <t>Средство для мытья посуды, консистенция гелеобразная, объем  450 мл.</t>
  </si>
  <si>
    <t>Средство для прочистки труб, гель 500 мл</t>
  </si>
  <si>
    <r>
      <t>Средство для сантехники, раковины и ваны</t>
    </r>
    <r>
      <rPr>
        <sz val="11"/>
        <color theme="1"/>
        <rFont val="Times New Roman"/>
        <family val="1"/>
        <charset val="204"/>
      </rPr>
      <t xml:space="preserve"> гель.</t>
    </r>
    <r>
      <rPr>
        <sz val="11"/>
        <color rgb="FF000000"/>
        <rFont val="Times New Roman"/>
        <family val="1"/>
        <charset val="204"/>
      </rPr>
      <t xml:space="preserve"> Объем  500-750 мл</t>
    </r>
  </si>
  <si>
    <r>
      <t>Средство для сантехники,</t>
    </r>
    <r>
      <rPr>
        <sz val="11"/>
        <color theme="1"/>
        <rFont val="Times New Roman"/>
        <family val="1"/>
        <charset val="204"/>
      </rPr>
      <t xml:space="preserve"> дезинфекция унитаза гель.</t>
    </r>
    <r>
      <rPr>
        <sz val="11"/>
        <color rgb="FF000000"/>
        <rFont val="Times New Roman"/>
        <family val="1"/>
        <charset val="204"/>
      </rPr>
      <t xml:space="preserve"> Объем  0,75 л</t>
    </r>
  </si>
  <si>
    <t>Блокнот (спираль) А6</t>
  </si>
  <si>
    <t>Бумага для заметок, блок-кубик, 90*90*50</t>
  </si>
  <si>
    <t>Клей канцелярский жидкий от 85 мл пластиковый аппликатор</t>
  </si>
  <si>
    <t>Линейка пластик 30-50см</t>
  </si>
  <si>
    <t>Лоток для бумаг горизонтальный пластиковый, шт.</t>
  </si>
  <si>
    <t>Папка архивная крафт/коленкор 120 мм</t>
  </si>
  <si>
    <t>Папка архивная крафт/бумвинил 4 завязки, 120 мм до 1100 листов</t>
  </si>
  <si>
    <t>Стержень для карандаша механического 0,5 мм</t>
  </si>
  <si>
    <t>Насадка для швабры веревочная микрофибра/хлопок, 27 см</t>
  </si>
  <si>
    <t>Насадка для мытья пола ленточная полиэстер, 33 см</t>
  </si>
  <si>
    <t>Сливной механизм</t>
  </si>
  <si>
    <t>Не более 45000 рублей включительно за 1 единицу</t>
  </si>
  <si>
    <t xml:space="preserve">Монитор </t>
  </si>
  <si>
    <t>Принтер цветной</t>
  </si>
  <si>
    <t>Не более 2 единицы на  организацию</t>
  </si>
  <si>
    <t>Факсимильный аппарат</t>
  </si>
  <si>
    <t>Не более 1 единицы  на  организацию</t>
  </si>
  <si>
    <t>Сетевое хранилище</t>
  </si>
  <si>
    <t>Телефон стационарный</t>
  </si>
  <si>
    <t>Не более 4000 рублей включительно за 1 единицу</t>
  </si>
  <si>
    <t>Тумба приставная для руководителя</t>
  </si>
  <si>
    <t>Тумба мобильная на колесиках для руоковдителя</t>
  </si>
  <si>
    <t>Шкаф для документации 5 -7 уровней</t>
  </si>
  <si>
    <t xml:space="preserve">Не более  20000 рублей включительно за 1 единицу </t>
  </si>
  <si>
    <t>Шкаф гардероб</t>
  </si>
  <si>
    <t xml:space="preserve">Не более 20000  рублей включительно за 1 единицу </t>
  </si>
  <si>
    <t>Стулья для руководителя</t>
  </si>
  <si>
    <t>Стол письменный</t>
  </si>
  <si>
    <t>Подставка под ПК</t>
  </si>
  <si>
    <t>Тумба мобильная на колесиках</t>
  </si>
  <si>
    <t xml:space="preserve">Не более  6000 рублей включительно за 1 единицу </t>
  </si>
  <si>
    <t>Шкаф для документации 2 уровня</t>
  </si>
  <si>
    <t>Шкаф для документации 3 уровня</t>
  </si>
  <si>
    <t>Шкаф для документации 5-7 уровней</t>
  </si>
  <si>
    <t>Шкаф-витрина 3 уровня, стеклянные дверцы в раме</t>
  </si>
  <si>
    <t>Шкаф-витрина 5 уровней, стеклянные дверцы в раме</t>
  </si>
  <si>
    <t xml:space="preserve">Не более  22000   рублей включительно за 1 единицу </t>
  </si>
  <si>
    <t>Шкаф-стеллаж  для документации, 5 уровней</t>
  </si>
  <si>
    <t>Стеллаж  для документации, двухсторонний</t>
  </si>
  <si>
    <t>Не более 2 единицы на кабинет</t>
  </si>
  <si>
    <t xml:space="preserve">Не более 16000 рублей включительно за 1 единицу </t>
  </si>
  <si>
    <t>Шкаф архивный (металлический)</t>
  </si>
  <si>
    <t xml:space="preserve">Шкаф-купе </t>
  </si>
  <si>
    <t xml:space="preserve">Не более  7000  рублей  включительно за 1 единицу </t>
  </si>
  <si>
    <t>Стулья искуственная кожа</t>
  </si>
  <si>
    <t>Не более 1 единиц на сотрудника</t>
  </si>
  <si>
    <t>Стулья ткань</t>
  </si>
  <si>
    <t xml:space="preserve">Многоместные секции </t>
  </si>
  <si>
    <t>Не более 3 единиц на этаж</t>
  </si>
  <si>
    <t>Не более   20000  рублей включительно за 1 единицу</t>
  </si>
  <si>
    <t>Многоместные секции, искуственная кожа</t>
  </si>
  <si>
    <t>Не более   25000  рублей включительно за 1 единицу</t>
  </si>
  <si>
    <t>Руководитель</t>
  </si>
  <si>
    <t>Должности категории «руководители»</t>
  </si>
  <si>
    <t>Должности категории «специалисты и служащие»</t>
  </si>
  <si>
    <t>Главный бухгалтер госсектора</t>
  </si>
  <si>
    <t>Типография</t>
  </si>
  <si>
    <t>≤44</t>
  </si>
  <si>
    <t>ИТОГО Коломенская 8</t>
  </si>
  <si>
    <t>Наименование принтеров,  МФУ, копировальных аппаратов (оргтехники)</t>
  </si>
  <si>
    <t>Сумма на год</t>
  </si>
  <si>
    <t>1.Типография:</t>
  </si>
  <si>
    <t>2.Комбайн HP М1005mfp</t>
  </si>
  <si>
    <t>3. МФУ Pantum M7 100 DN/RU</t>
  </si>
  <si>
    <t>ВСЕГО:</t>
  </si>
  <si>
    <t>Продление  лицензии Creative Cloud ( Adobe Photoshop CC )</t>
  </si>
  <si>
    <t xml:space="preserve">Операционная система </t>
  </si>
  <si>
    <t>Ключ к информационным системам</t>
  </si>
  <si>
    <t>Крипто про</t>
  </si>
  <si>
    <t>Многофункциональное устройство А4</t>
  </si>
  <si>
    <t>Мышь</t>
  </si>
  <si>
    <t>Накопитель SSD серверный для баз 1 С</t>
  </si>
  <si>
    <t>Корпус (системный блок)</t>
  </si>
  <si>
    <t>Моноблок</t>
  </si>
  <si>
    <t>Вэб камера</t>
  </si>
  <si>
    <t>Количество для приобретения</t>
  </si>
  <si>
    <t>Брошюровщик-переплетчик</t>
  </si>
  <si>
    <t>Фактическое количество принтеров,  МФУ, копировальных аппаратов (оргтехники)</t>
  </si>
  <si>
    <t>Норматив потребления расходных материалов принтеров,  МФУ, копировальных аппаратов (оргтехники)</t>
  </si>
  <si>
    <t>1.Типография в т.ч.:</t>
  </si>
  <si>
    <t>Полноцветная система печати Konica Minolta</t>
  </si>
  <si>
    <t>Фотобарабан цветной A7U40TD DR-313, C/M/Y (55 000/75 000/90 000 копий/отпечатков) для bizhub C258/C308/C368</t>
  </si>
  <si>
    <t>Бункер отработанного тонера Konica Minolta C364e WX-103 (Ор)</t>
  </si>
  <si>
    <t>Драм Юнит для Minolta C368e цветной</t>
  </si>
  <si>
    <t>черный картридж</t>
  </si>
  <si>
    <t>цветной картридж</t>
  </si>
  <si>
    <t xml:space="preserve">Цифровой дубликатор Duplo U550:              </t>
  </si>
  <si>
    <t xml:space="preserve">                                1   
</t>
  </si>
  <si>
    <t>краска</t>
  </si>
  <si>
    <t>пленка</t>
  </si>
  <si>
    <t xml:space="preserve">Электрическая гильотина: </t>
  </si>
  <si>
    <t>нож</t>
  </si>
  <si>
    <t>марзан</t>
  </si>
  <si>
    <t>3.МФУ Pantum M7 100 DN/RU</t>
  </si>
  <si>
    <t>Термопленка</t>
  </si>
  <si>
    <t>Лента переноса изображения</t>
  </si>
  <si>
    <t xml:space="preserve">Узел переноса изображения </t>
  </si>
  <si>
    <t>Печка</t>
  </si>
  <si>
    <t>Тефлоновый вал</t>
  </si>
  <si>
    <t>Ролик переноса</t>
  </si>
  <si>
    <t xml:space="preserve">Количество обслуживаемых устройств </t>
  </si>
  <si>
    <t>Планируемое к приобретению количество  мебели</t>
  </si>
  <si>
    <t>Цена 1 единицы  предмета мебели</t>
  </si>
  <si>
    <t xml:space="preserve">Стулья </t>
  </si>
  <si>
    <t>Шкаф-стеллаж для документации</t>
  </si>
  <si>
    <t>Шкаф секционный для переодевания</t>
  </si>
  <si>
    <t>Скамья</t>
  </si>
  <si>
    <t>Ежедневник датированный, искуственная кожа, А5</t>
  </si>
  <si>
    <t>Ежедневник недатированный, искуственная кожа, А5</t>
  </si>
  <si>
    <t xml:space="preserve">Зажим для бумаг 51 мм, 12 шт. в упак. </t>
  </si>
  <si>
    <t>Календарь настенный, квартальный</t>
  </si>
  <si>
    <t>Календарь настольный</t>
  </si>
  <si>
    <t>Карандаш корректирующий 12 мл. быстросохнующая основа</t>
  </si>
  <si>
    <t>Конверт немаркированный А4 229*324 мм</t>
  </si>
  <si>
    <t>Конверт немаркированный А5 162x229 мм</t>
  </si>
  <si>
    <t>Клей карандаш не менее 20 г</t>
  </si>
  <si>
    <t xml:space="preserve">Книга бухгалтерская 160 л клетка  </t>
  </si>
  <si>
    <t>Книга Телефонная А4 96 листов, бумвинил</t>
  </si>
  <si>
    <t>Кнопки силовые (11 мм, 30 штук в упаковке)</t>
  </si>
  <si>
    <t>Кнопки канцелярские металлические стальные (100 штук в упаковке)</t>
  </si>
  <si>
    <t>Ластик для ручки и карандаша, комбинированный, каучуковый</t>
  </si>
  <si>
    <t xml:space="preserve">Лента корректирующая 5мм </t>
  </si>
  <si>
    <t>Лента клейкая (скотч) канцелярская двухсторонняя прозрачная 12 мм (с диспенсером), шт.</t>
  </si>
  <si>
    <t>Лента клейкая (скотч) канцелярская двухсторонняя прозрачная  48-50 мм, шт.</t>
  </si>
  <si>
    <t>Лента клейкая (скотч) упаковочная прозрачная 48-50 мм x 50 м, шт.</t>
  </si>
  <si>
    <t xml:space="preserve">Маркер лаковый/промышленный для маркировки </t>
  </si>
  <si>
    <t>Маркер цветной для бумаги (текстовыделитель) желтый, 3,5 мм со скошенным наконечником</t>
  </si>
  <si>
    <t>Маркер цветной для дерева, стекла, пластика (перманентный)</t>
  </si>
  <si>
    <t>Тетрадь 48 л.</t>
  </si>
  <si>
    <t>Набор шариковых ручек (4 цвета: зеленый, красный, синий, черный)</t>
  </si>
  <si>
    <t>Нож канцелярский, 18 мм с фиксатором</t>
  </si>
  <si>
    <t>Ножницы канцелярские,  от 180 мм, остроконечные</t>
  </si>
  <si>
    <t xml:space="preserve">Обложка для переплета картон (100 шт. в упаковке) </t>
  </si>
  <si>
    <t xml:space="preserve">Обложка для переплета пластик прозрачный (100 шт. в упаковке) </t>
  </si>
  <si>
    <t>Папка на кольцах А4 пластиковая (корешок 25 мм, наличие кармана, диаметр кольца 17мм)</t>
  </si>
  <si>
    <t>Папка конверт на кнопке А4, 0.18мм толщина</t>
  </si>
  <si>
    <t>Папка на резинке А4 пластиковая (0.8 мм, до 150 листов)</t>
  </si>
  <si>
    <t>Папка-планшет А4 (пластик) без крышки</t>
  </si>
  <si>
    <t>Папка-планшет А4 (пластик) с крышкой</t>
  </si>
  <si>
    <t>Папка-скоросшиватель с прозрачной обложкой А4, толщина обложки 0,18мм</t>
  </si>
  <si>
    <t>Планинг недатированный, с твердой обложкой , материал обложки: бумвинил</t>
  </si>
  <si>
    <t>Планинг датированный, с твердой обложкой , материал обложки: бумвинил</t>
  </si>
  <si>
    <t>Планинг датированный, кожзам.</t>
  </si>
  <si>
    <t>Подушка для смачивания пальцев гелевая 25 мл.</t>
  </si>
  <si>
    <t>Подставка настольная/настенная акриловая</t>
  </si>
  <si>
    <t xml:space="preserve">Пружины для брошюровочной машины, 12 мм (100 шт. в упаковке)  </t>
  </si>
  <si>
    <t xml:space="preserve">Пружины для брошюровочной машины, 22 мм (50 шт. в упаковке) </t>
  </si>
  <si>
    <t xml:space="preserve">Пружины для брошюровочной машины, 51 мм (50 шт. в упаковке) </t>
  </si>
  <si>
    <t>Ролик для факсов</t>
  </si>
  <si>
    <t>Ручка со стираемыми чернилами 0,5 мм толщина линии</t>
  </si>
  <si>
    <t>Ручка шариковая на подставке и на липучке с пружиной толщина линии 0,5мм</t>
  </si>
  <si>
    <t>Ручка шариковая/гелевая в футляре, металлический/хромированный корпус</t>
  </si>
  <si>
    <t>Стержень для гелевой автоматической ручки 0,5-0,7 мм, длина 110 мм</t>
  </si>
  <si>
    <t>Стержень для шариковой неавтоматической ручки 0,5-1 мм, длина стержня 135 мм</t>
  </si>
  <si>
    <t>Стержень для шариковой/гелевой ручки в футляре</t>
  </si>
  <si>
    <t>Файл-вкладыш А4 от 45 мкм (100 шт. в упаковке) прозрачный гладкий</t>
  </si>
  <si>
    <t>Батарейка аккумуляторные АА, шт.</t>
  </si>
  <si>
    <t>Батарейка аккумуляторные ААА, шт.</t>
  </si>
  <si>
    <t>Батарейка питания алкалиновая, тип АА, шт.</t>
  </si>
  <si>
    <t>Батарейка питания алкалиновая, тип ААА,  шт.</t>
  </si>
  <si>
    <t>Бирка для ключей</t>
  </si>
  <si>
    <t>Бумага туалетная 2-слойная для диспенсеров, от 170 м.</t>
  </si>
  <si>
    <t>Бумага туалетная 1-слойная для диспенсеров, от 170-200 м.</t>
  </si>
  <si>
    <t>Бумажные полотенца листовые ZZ сложения для диспенсеров, 2-х слойные. В пачке 200 листов.</t>
  </si>
  <si>
    <t>Ведро мусорное, с педалью. 15 л.</t>
  </si>
  <si>
    <t>Ведро пластиковое 10 л с отжимом</t>
  </si>
  <si>
    <t xml:space="preserve">Ведро пластиковое 10 л. </t>
  </si>
  <si>
    <t>Выключатель с рамкой</t>
  </si>
  <si>
    <t>Губки для деликатных поверхностей, паролон с абразивным слоем, зеленые (6.3х14)</t>
  </si>
  <si>
    <t>Диспенсер для жидкого мыла, настенный</t>
  </si>
  <si>
    <t>Диспенсер для листовых полотенец</t>
  </si>
  <si>
    <t>Жидкость незамерзающая для омывания стекол в а/м</t>
  </si>
  <si>
    <t>Л</t>
  </si>
  <si>
    <t>Клей универсальный, 3 -5 г.</t>
  </si>
  <si>
    <t>Корзина для мусора 10 л пластик</t>
  </si>
  <si>
    <t>Комплект для мытья стекол (водосгон с шубкой из микрофибры, ручка)</t>
  </si>
  <si>
    <t>Комплект для уборки (щетка для пола, совок)</t>
  </si>
  <si>
    <t>Крем- мыло жидкое для рук, объем  5 л</t>
  </si>
  <si>
    <t xml:space="preserve">Крепления для зеркала </t>
  </si>
  <si>
    <t>Крючок</t>
  </si>
  <si>
    <t>Лампа люминесцентная, мощность 18Вт., цоколь G13</t>
  </si>
  <si>
    <t>Лампа светодиодная, мощность 8Вт-10Вт, белый свет, цоколь GX53, тип колбы таблетка, матовая, 28х74мм</t>
  </si>
  <si>
    <t>Лампа энергосберегающая, мощность 20Вт.,  цоколь Е 27.</t>
  </si>
  <si>
    <t>Лампа энергосберегающая, мощность 11Вт.,  цоколь 2G7. 11w/21-840</t>
  </si>
  <si>
    <t>Лампа энергосберегающая, мощность 11Вт.,  цоколь G23, тип колбы S. 9w/827</t>
  </si>
  <si>
    <t>Мешки для мусора объемом 30 л ( 30 шт. в рулоне.) от 10 мкм</t>
  </si>
  <si>
    <t>Мешки для мусора с завязками объемом 30 л ( 20 шт. в рулоне.) от 12 мкм</t>
  </si>
  <si>
    <t>Мешки для мусора объемом 100 л., плотность 50 мкм</t>
  </si>
  <si>
    <t>Мешки для мусора объемом 120 л., от 50 мкм</t>
  </si>
  <si>
    <t>Мыльница пластиковая</t>
  </si>
  <si>
    <t>Освежитель воздуха</t>
  </si>
  <si>
    <t>Рукоятка для шеток и насадок, маталлопластик 138 см</t>
  </si>
  <si>
    <t>Рукоятка для шеток и насадок, алюминиевая 150 см</t>
  </si>
  <si>
    <t>Рулетка измерительная/лента</t>
  </si>
  <si>
    <t>Салфетки для чистки мониторов из крепированной бумаги (в тубе) 130x170 мм размер салфетки</t>
  </si>
  <si>
    <t>Салфетки бумажные 1 слойные, сложенные в четверо (50-100 штук в упаковке)</t>
  </si>
  <si>
    <t>Салфетки бумажные 3 слойные, сложенные в четверо. С рисунком (от 20 штук в упаковке)</t>
  </si>
  <si>
    <t>Светильник со светодиодными источниками света (комплект из 6ти 
светильников и источника)</t>
  </si>
  <si>
    <r>
      <t>Средство для мытья полов концентрированное универсальное</t>
    </r>
    <r>
      <rPr>
        <sz val="11"/>
        <color rgb="FF000000"/>
        <rFont val="Times New Roman"/>
        <family val="1"/>
        <charset val="204"/>
      </rPr>
      <t>,</t>
    </r>
    <r>
      <rPr>
        <sz val="11"/>
        <color theme="1"/>
        <rFont val="Times New Roman"/>
        <family val="1"/>
        <charset val="204"/>
      </rPr>
      <t xml:space="preserve"> объем  5 л.</t>
    </r>
  </si>
  <si>
    <t>Средство для мытья стекол, окон, зеркал. С курком, объем 500 мл.</t>
  </si>
  <si>
    <r>
      <t>Средство для сантехники, удаление ржавчины ге</t>
    </r>
    <r>
      <rPr>
        <sz val="11"/>
        <color theme="1"/>
        <rFont val="Times New Roman"/>
        <family val="1"/>
        <charset val="204"/>
      </rPr>
      <t>ль.</t>
    </r>
    <r>
      <rPr>
        <sz val="11"/>
        <color rgb="FF000000"/>
        <rFont val="Times New Roman"/>
        <family val="1"/>
        <charset val="204"/>
      </rPr>
      <t xml:space="preserve"> Объем  0,45 л</t>
    </r>
  </si>
  <si>
    <t>Средство для удаления граффити, профессиональное усиленное, балон 400 мл</t>
  </si>
  <si>
    <t>Средство для удаления водонерастворимых загрязнений, Антивандал-граффити, 500 мл с курком</t>
  </si>
  <si>
    <t>Средство для чистки мебели</t>
  </si>
  <si>
    <r>
      <t xml:space="preserve">Средство для чистки кухни, универсальное, </t>
    </r>
    <r>
      <rPr>
        <sz val="11"/>
        <color rgb="FF000000"/>
        <rFont val="Times New Roman"/>
        <family val="1"/>
        <charset val="204"/>
      </rPr>
      <t xml:space="preserve">порошок. </t>
    </r>
    <r>
      <rPr>
        <sz val="11"/>
        <color theme="1"/>
        <rFont val="Times New Roman"/>
        <family val="1"/>
        <charset val="204"/>
      </rPr>
      <t>Объем  400-500 гр.</t>
    </r>
  </si>
  <si>
    <t>Стартер для подключения люминесцентных ламп</t>
  </si>
  <si>
    <t>Тряпка для пола 100% микрофибра 70x80 см</t>
  </si>
  <si>
    <t>Тряпка для пола 50x80 см хлопок, вискоза, полиэстер</t>
  </si>
  <si>
    <t>Щетка для сильных загрязнений 28 см</t>
  </si>
  <si>
    <t>Швабра для пола отжимная губчатая</t>
  </si>
  <si>
    <t>Швабра для мытья пола деревянная</t>
  </si>
  <si>
    <t>Затраты на негативное воздействие на работу центральной системы водоотведения</t>
  </si>
  <si>
    <t>Негативное воздействие на работу центральной системы водоотведения, 1 п/г</t>
  </si>
  <si>
    <t>Негативное воздействие на работу центральной системы водоотведения, 2 п/г</t>
  </si>
  <si>
    <t>2.4.7.</t>
  </si>
  <si>
    <t>Услуги по эвакуации автомобиля</t>
  </si>
  <si>
    <t>Затраты согласно плановым ТО</t>
  </si>
  <si>
    <t>предельный размер базовой ставки страхового тарифа по i-му транспортному средству</t>
  </si>
  <si>
    <t>коэффициент страховых тарифов в зависимости от территории преимущественного использования i-го транспортного средства</t>
  </si>
  <si>
    <t>коэффициент страховых тарифов в зависимости от наличия или отсутствия страховых возмещений при наступлении страховых случаев, произошедших в период действия предыдущих договоров обязательного страхования по i-му транспортному средству</t>
  </si>
  <si>
    <t>коэффициент страховых тарифов в зависимости от наличия сведений о количестве лиц, допущенных к управлению i-м транспортным средством</t>
  </si>
  <si>
    <t>коэффициент страховых тарифов в зависимости от технических характеристик i-го транспортного средства</t>
  </si>
  <si>
    <t>коэффициент страховых тарифов в зависимости от периода использования i-го транспортного средства</t>
  </si>
  <si>
    <t>коэффициент страховых тарифов в зависимости от наличия нарушений, предусмотренных пунктом 3 статьи 9 Федерального закона "Об обязательном страховании гражданской ответственности владельцев транспортных средств</t>
  </si>
  <si>
    <t>х</t>
  </si>
  <si>
    <t>коэффициент страховых тарифов в зависимости от наличия в договоре обязательного страхования условия, предусматривающего возможность управления i-м транспортным средством с прицепом к нему</t>
  </si>
  <si>
    <t>Коэффициент предполагаемого повышения базовых тарифов (по оценке РСА)</t>
  </si>
  <si>
    <t>Норма расхода топлива на 100 километров пробега согласно методическим рекомендациям "Нормы расхода топлива и смазочных материалов на автомобильном транспорте", предусмотренным приложением к распоряжению Министерства транспорта Российской Федерации от 14 марта 2008 г. № АМ-23-р</t>
  </si>
  <si>
    <t xml:space="preserve">Цена 1 литра горюче-смазочного материала </t>
  </si>
  <si>
    <t>летний период, топливо</t>
  </si>
  <si>
    <t>летний период, масло</t>
  </si>
  <si>
    <t>зимний период, топливо</t>
  </si>
  <si>
    <t>зимний период, масло</t>
  </si>
  <si>
    <t>Автомобиль Газ 2310,107 л.с. 2021 года выпуска</t>
  </si>
  <si>
    <t>Автомобиль Газ 2310,107 л.с. 2021 г.в.</t>
  </si>
  <si>
    <t xml:space="preserve">ИТОГО </t>
  </si>
  <si>
    <t>Цена расходного материала по 1 типу принтеров,  МФУ, копировальных аппаратов (оргтехни-ки)</t>
  </si>
  <si>
    <t>2.5.4.</t>
  </si>
  <si>
    <t xml:space="preserve">Затраты на аренду помещения (гаража) </t>
  </si>
  <si>
    <t>Затраты на сеть "Интернет" и услуги интернет-провайдеров (по адресам Санкт-Петербург, Коломенская,8 ; Боровая,11-13)</t>
  </si>
  <si>
    <t>Затраты на электроснабжение  Санкт-Петербург,ул. Коломенская,д.8</t>
  </si>
  <si>
    <t>Затраты на электроснабжение Санкт-Петербург, ул.Боровая, д.11-13</t>
  </si>
  <si>
    <t>Затраты на теплоснабжение Санкт-Петербург,ул. Коломенская,д.8</t>
  </si>
  <si>
    <t>Итого Санкт-Петербург, ул.Боровая, д.11-13</t>
  </si>
  <si>
    <t>Итого Санкт-Петербург,ул. Коломенская,д.8</t>
  </si>
  <si>
    <t>Аренда нежилого помещения по адресу :Санкт-Петербург,ул. Коломенская,д.8, площадь 146,10 м²</t>
  </si>
  <si>
    <t>Аренда нежилого помещения (гаража)по адресу :Санкт- Петербург, ул. Марата, д.18 лит Б пом 6-Н, площадь 16,4 м2</t>
  </si>
  <si>
    <t>Система тревожной сигнализации Санкт-Петербург, ул.Боровая, д.11-13</t>
  </si>
  <si>
    <t>Затраты на вывоз твердых бытовых отходов Санкт-Петербург, ул.Боровая, д.11-13</t>
  </si>
  <si>
    <t>Затраты на вывоз твердых бытовых отходов Санкт-Петербург, ул.Коломенская, д.8</t>
  </si>
  <si>
    <t>Система автоматической пожарной сигнализации и система оповещения при пожаре Санкт-Петербург, ул.Коломенская, д.8</t>
  </si>
  <si>
    <t>Затраты на абонентскую плату,Санкт-Петербург, Коломенская 8</t>
  </si>
  <si>
    <t xml:space="preserve">Приложение </t>
  </si>
  <si>
    <t>Плата за аренду объекта с учетом НДС в квартал в 2024 году</t>
  </si>
  <si>
    <t xml:space="preserve">Canon I-SENSYS MF416dw (картриджCANON 719H Black) </t>
  </si>
  <si>
    <t>Автомобиль Газ 2310,107 л.с.    2021 г.в.</t>
  </si>
  <si>
    <t xml:space="preserve">Не более  30000  рублей включительно за 1 единицу </t>
  </si>
  <si>
    <t xml:space="preserve">Не более 15000  рублей включительно за 1 единицу </t>
  </si>
  <si>
    <t xml:space="preserve">Не более  50000 рублей  включительно за 1 единицу </t>
  </si>
  <si>
    <t xml:space="preserve">Не более  4500  рублей включительно за 1 единицу </t>
  </si>
  <si>
    <t xml:space="preserve">Не более  65000 рублей включительно за 1 единицу </t>
  </si>
  <si>
    <t>Не более   2000  рублей включительно за 1 единицу</t>
  </si>
  <si>
    <t xml:space="preserve">Не более 15000   рублей включительно за 1 единицу </t>
  </si>
  <si>
    <t xml:space="preserve">Не более  50000 рублей включительно за 1 единицу </t>
  </si>
  <si>
    <t xml:space="preserve">Не более   25000  рублей включительно за 1 единицу </t>
  </si>
  <si>
    <t xml:space="preserve">Не более  10000   рублей включительно за 1 единицу </t>
  </si>
  <si>
    <t xml:space="preserve">Не более  11000   рублей включительно за 1 единицу </t>
  </si>
  <si>
    <t xml:space="preserve">Не более  25000   рублей включительно за 1 единицу </t>
  </si>
  <si>
    <t xml:space="preserve">Не более  30000   рублей включительно за 1 единицу </t>
  </si>
  <si>
    <t>Не более   200000  рублей включительно за 1 единицу</t>
  </si>
  <si>
    <t>Не более   9000  рублей включительно за 1 единицу</t>
  </si>
  <si>
    <t>Не более 90000 рублей включительно за 1 единицу</t>
  </si>
  <si>
    <t>Не более 65000 рублей включительно за 1 единицу</t>
  </si>
  <si>
    <t>не более 80000 (системный блок - 60 000, монитор  - 20000)</t>
  </si>
  <si>
    <t>не более 70000 (системный блок - 55000, монитор  - 15000)</t>
  </si>
  <si>
    <t>Не более 17000 рублей включительно за 1 единицу</t>
  </si>
  <si>
    <t>Не более 40000 рублей включительно за 1 единицу</t>
  </si>
  <si>
    <t>Не более 20000 рублей включительно за 1 единицу- с ежемесячной оплатой не более 4000 рублей в месяц;</t>
  </si>
  <si>
    <t>Не более 10000 рублей включительно за 1 единицу- с ежемесячной оплатой не более 2500 рублей в месяц;</t>
  </si>
  <si>
    <t>Папка на 2-х кольцах пласт. 25/32 мм А4</t>
  </si>
  <si>
    <t>Папка на 2-х кольцах пласт. 35/42 мм А4</t>
  </si>
  <si>
    <t xml:space="preserve">Штука </t>
  </si>
  <si>
    <t>Губка для мытья посуды 95/65/30 5 шт/упак</t>
  </si>
  <si>
    <t>упак</t>
  </si>
  <si>
    <t>Мыло жидкое 5л универсальное</t>
  </si>
  <si>
    <t xml:space="preserve">Отбеливатель Белизна  1 л </t>
  </si>
  <si>
    <t>Отбеливатель Белизна гель концентрат 1 л (15-30%)</t>
  </si>
  <si>
    <t>Полотенце бумажное 4 рул/упак</t>
  </si>
  <si>
    <t>Средство для мытья полов нейтрал концентрация 1 л</t>
  </si>
  <si>
    <r>
      <t xml:space="preserve">Средство для сантехники Белизна </t>
    </r>
    <r>
      <rPr>
        <sz val="11"/>
        <color theme="1"/>
        <rFont val="Times New Roman"/>
        <family val="1"/>
        <charset val="204"/>
      </rPr>
      <t xml:space="preserve"> гель.</t>
    </r>
    <r>
      <rPr>
        <sz val="11"/>
        <color rgb="FF000000"/>
        <rFont val="Times New Roman"/>
        <family val="1"/>
        <charset val="204"/>
      </rPr>
      <t xml:space="preserve"> Объем  1000 мл</t>
    </r>
  </si>
  <si>
    <r>
      <t>Средство сантехн. Для  удаления налета ржавчины ге</t>
    </r>
    <r>
      <rPr>
        <sz val="11"/>
        <color theme="1"/>
        <rFont val="Times New Roman"/>
        <family val="1"/>
        <charset val="204"/>
      </rPr>
      <t>ль.</t>
    </r>
    <r>
      <rPr>
        <sz val="11"/>
        <color rgb="FF000000"/>
        <rFont val="Times New Roman"/>
        <family val="1"/>
        <charset val="204"/>
      </rPr>
      <t xml:space="preserve"> Объем  0,75 л</t>
    </r>
  </si>
  <si>
    <t>шт.</t>
  </si>
  <si>
    <t>Легковой автомобиль отечественный новый</t>
  </si>
  <si>
    <t>Автомобиль легковой отечественный новый</t>
  </si>
  <si>
    <t>Нормативные затраты на обеспечение функций Санкт-Петербургского Муниципального Учреждения «Агенство по социально-экономическому развитию муниципального образования Владимирский округ» на 2026 год</t>
  </si>
  <si>
    <t>к Постановлению Местной Администрации внутригородского муниципального образования города федерального значения Санкт-Петербурга муниципальный округ Владимирский округ от 08.07.2025 № 02-03/112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</si>
</sst>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0"/>
    <numFmt numFmtId="166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9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0" fillId="0" borderId="0" xfId="0"/>
    <xf numFmtId="0" fontId="2" fillId="0" borderId="0" xfId="0" applyFont="1"/>
    <xf numFmtId="4" fontId="0" fillId="0" borderId="1" xfId="0" applyNumberFormat="1" applyBorder="1"/>
    <xf numFmtId="4" fontId="0" fillId="0" borderId="0" xfId="0" applyNumberFormat="1"/>
    <xf numFmtId="0" fontId="2" fillId="0" borderId="0" xfId="0" applyFont="1" applyAlignme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4" fontId="6" fillId="0" borderId="1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4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center"/>
    </xf>
    <xf numFmtId="164" fontId="0" fillId="0" borderId="0" xfId="1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" fontId="9" fillId="3" borderId="12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horizontal="right"/>
    </xf>
    <xf numFmtId="0" fontId="11" fillId="0" borderId="0" xfId="0" applyFont="1" applyFill="1"/>
    <xf numFmtId="4" fontId="11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vertical="center"/>
    </xf>
    <xf numFmtId="4" fontId="11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/>
    <xf numFmtId="4" fontId="4" fillId="3" borderId="1" xfId="0" applyNumberFormat="1" applyFont="1" applyFill="1" applyBorder="1"/>
    <xf numFmtId="0" fontId="4" fillId="0" borderId="0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right"/>
    </xf>
    <xf numFmtId="49" fontId="4" fillId="0" borderId="0" xfId="0" applyNumberFormat="1" applyFont="1" applyAlignment="1">
      <alignment vertic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" fontId="11" fillId="3" borderId="1" xfId="0" applyNumberFormat="1" applyFont="1" applyFill="1" applyBorder="1"/>
    <xf numFmtId="49" fontId="4" fillId="0" borderId="0" xfId="0" applyNumberFormat="1" applyFont="1" applyFill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9" fontId="4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4" fontId="11" fillId="0" borderId="1" xfId="0" applyNumberFormat="1" applyFont="1" applyBorder="1"/>
    <xf numFmtId="49" fontId="4" fillId="0" borderId="0" xfId="0" applyNumberFormat="1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12" fillId="0" borderId="0" xfId="0" applyFont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4" fontId="11" fillId="0" borderId="0" xfId="0" applyNumberFormat="1" applyFont="1" applyFill="1" applyBorder="1"/>
    <xf numFmtId="0" fontId="4" fillId="3" borderId="0" xfId="0" applyFont="1" applyFill="1"/>
    <xf numFmtId="0" fontId="4" fillId="3" borderId="0" xfId="0" applyFont="1" applyFill="1" applyBorder="1"/>
    <xf numFmtId="2" fontId="4" fillId="3" borderId="0" xfId="0" applyNumberFormat="1" applyFont="1" applyFill="1" applyBorder="1" applyAlignment="1"/>
    <xf numFmtId="0" fontId="4" fillId="3" borderId="0" xfId="0" applyFont="1" applyFill="1" applyBorder="1" applyAlignment="1"/>
    <xf numFmtId="2" fontId="11" fillId="3" borderId="0" xfId="0" applyNumberFormat="1" applyFont="1" applyFill="1" applyBorder="1"/>
    <xf numFmtId="4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/>
    <xf numFmtId="4" fontId="11" fillId="0" borderId="1" xfId="0" applyNumberFormat="1" applyFont="1" applyFill="1" applyBorder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4" fontId="13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wrapText="1"/>
    </xf>
    <xf numFmtId="4" fontId="13" fillId="0" borderId="1" xfId="0" applyNumberFormat="1" applyFont="1" applyFill="1" applyBorder="1"/>
    <xf numFmtId="0" fontId="13" fillId="0" borderId="1" xfId="0" applyFont="1" applyFill="1" applyBorder="1"/>
    <xf numFmtId="0" fontId="4" fillId="0" borderId="0" xfId="0" applyFont="1" applyFill="1" applyAlignment="1">
      <alignment wrapText="1"/>
    </xf>
    <xf numFmtId="0" fontId="13" fillId="3" borderId="1" xfId="0" applyFont="1" applyFill="1" applyBorder="1" applyAlignment="1">
      <alignment wrapText="1"/>
    </xf>
    <xf numFmtId="2" fontId="4" fillId="3" borderId="2" xfId="0" applyNumberFormat="1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4" fontId="4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left" wrapText="1"/>
    </xf>
    <xf numFmtId="4" fontId="4" fillId="0" borderId="0" xfId="0" applyNumberFormat="1" applyFont="1" applyFill="1" applyAlignment="1">
      <alignment horizontal="right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166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/>
    <xf numFmtId="0" fontId="4" fillId="0" borderId="1" xfId="0" applyFont="1" applyFill="1" applyBorder="1" applyAlignment="1"/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1" fillId="0" borderId="1" xfId="0" applyFont="1" applyFill="1" applyBorder="1"/>
    <xf numFmtId="0" fontId="4" fillId="0" borderId="0" xfId="0" applyFont="1" applyFill="1" applyAlignment="1">
      <alignment horizontal="right" wrapText="1"/>
    </xf>
    <xf numFmtId="0" fontId="4" fillId="0" borderId="1" xfId="0" applyFont="1" applyFill="1" applyBorder="1" applyAlignment="1">
      <alignment horizontal="right" vertical="center" wrapText="1"/>
    </xf>
    <xf numFmtId="0" fontId="4" fillId="3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/>
    </xf>
    <xf numFmtId="0" fontId="4" fillId="3" borderId="3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4" fillId="3" borderId="0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wrapText="1"/>
    </xf>
    <xf numFmtId="0" fontId="4" fillId="3" borderId="1" xfId="0" applyFont="1" applyFill="1" applyBorder="1" applyAlignment="1">
      <alignment vertical="top"/>
    </xf>
    <xf numFmtId="2" fontId="4" fillId="3" borderId="3" xfId="0" applyNumberFormat="1" applyFont="1" applyFill="1" applyBorder="1" applyAlignment="1"/>
    <xf numFmtId="2" fontId="4" fillId="3" borderId="1" xfId="0" applyNumberFormat="1" applyFont="1" applyFill="1" applyBorder="1"/>
    <xf numFmtId="0" fontId="4" fillId="3" borderId="14" xfId="0" applyFont="1" applyFill="1" applyBorder="1" applyAlignment="1">
      <alignment wrapText="1"/>
    </xf>
    <xf numFmtId="0" fontId="4" fillId="3" borderId="1" xfId="0" applyFont="1" applyFill="1" applyBorder="1" applyAlignment="1">
      <alignment vertical="top" wrapText="1"/>
    </xf>
    <xf numFmtId="2" fontId="4" fillId="3" borderId="3" xfId="0" applyNumberFormat="1" applyFont="1" applyFill="1" applyBorder="1" applyAlignment="1">
      <alignment horizontal="right" wrapText="1"/>
    </xf>
    <xf numFmtId="0" fontId="4" fillId="3" borderId="12" xfId="0" applyFont="1" applyFill="1" applyBorder="1" applyAlignment="1">
      <alignment vertical="top" wrapText="1"/>
    </xf>
    <xf numFmtId="0" fontId="4" fillId="3" borderId="14" xfId="0" applyFont="1" applyFill="1" applyBorder="1"/>
    <xf numFmtId="0" fontId="4" fillId="3" borderId="1" xfId="0" applyFont="1" applyFill="1" applyBorder="1" applyAlignment="1"/>
    <xf numFmtId="0" fontId="4" fillId="3" borderId="0" xfId="0" applyFont="1" applyFill="1" applyBorder="1" applyAlignment="1">
      <alignment vertical="top"/>
    </xf>
    <xf numFmtId="2" fontId="4" fillId="3" borderId="0" xfId="0" applyNumberFormat="1" applyFont="1" applyFill="1" applyBorder="1"/>
    <xf numFmtId="4" fontId="4" fillId="0" borderId="0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wrapText="1"/>
    </xf>
    <xf numFmtId="0" fontId="11" fillId="3" borderId="0" xfId="0" applyFont="1" applyFill="1"/>
    <xf numFmtId="0" fontId="11" fillId="3" borderId="1" xfId="0" applyFont="1" applyFill="1" applyBorder="1"/>
    <xf numFmtId="0" fontId="11" fillId="0" borderId="0" xfId="0" applyFont="1"/>
    <xf numFmtId="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17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right" vertical="center"/>
    </xf>
    <xf numFmtId="0" fontId="11" fillId="0" borderId="0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/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wrapText="1"/>
    </xf>
    <xf numFmtId="4" fontId="4" fillId="0" borderId="0" xfId="0" applyNumberFormat="1" applyFont="1"/>
    <xf numFmtId="4" fontId="4" fillId="0" borderId="0" xfId="0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wrapText="1"/>
    </xf>
    <xf numFmtId="4" fontId="11" fillId="0" borderId="1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/>
    <xf numFmtId="4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14" fontId="4" fillId="0" borderId="0" xfId="0" applyNumberFormat="1" applyFont="1" applyFill="1"/>
    <xf numFmtId="14" fontId="4" fillId="0" borderId="0" xfId="0" applyNumberFormat="1" applyFont="1" applyFill="1" applyAlignment="1">
      <alignment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165" fontId="4" fillId="3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2" fontId="4" fillId="0" borderId="0" xfId="0" applyNumberFormat="1" applyFont="1" applyFill="1" applyAlignment="1">
      <alignment horizontal="left" wrapText="1"/>
    </xf>
    <xf numFmtId="4" fontId="11" fillId="3" borderId="0" xfId="0" applyNumberFormat="1" applyFont="1" applyFill="1" applyBorder="1"/>
    <xf numFmtId="14" fontId="4" fillId="3" borderId="0" xfId="0" applyNumberFormat="1" applyFont="1" applyFill="1"/>
    <xf numFmtId="4" fontId="4" fillId="3" borderId="0" xfId="0" applyNumberFormat="1" applyFont="1" applyFill="1"/>
    <xf numFmtId="0" fontId="4" fillId="0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4" fontId="13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2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2" fontId="0" fillId="0" borderId="1" xfId="0" applyNumberFormat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/>
    </xf>
    <xf numFmtId="2" fontId="8" fillId="0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12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2" fontId="4" fillId="0" borderId="0" xfId="0" applyNumberFormat="1" applyFont="1" applyFill="1" applyAlignment="1">
      <alignment horizontal="left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Alignment="1">
      <alignment horizontal="left" vertical="center" wrapText="1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49" fontId="4" fillId="0" borderId="0" xfId="0" applyNumberFormat="1" applyFont="1" applyFill="1" applyAlignment="1">
      <alignment horizontal="left" wrapText="1"/>
    </xf>
    <xf numFmtId="49" fontId="4" fillId="0" borderId="0" xfId="0" applyNumberFormat="1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  <xf numFmtId="0" fontId="4" fillId="3" borderId="12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/>
    </xf>
    <xf numFmtId="0" fontId="4" fillId="3" borderId="14" xfId="0" applyFont="1" applyFill="1" applyBorder="1" applyAlignment="1">
      <alignment vertical="top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1" fillId="3" borderId="0" xfId="0" applyFont="1" applyFill="1" applyAlignment="1">
      <alignment horizont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49" fontId="6" fillId="0" borderId="4" xfId="0" applyNumberFormat="1" applyFont="1" applyFill="1" applyBorder="1" applyAlignment="1" applyProtection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9" fillId="3" borderId="3" xfId="0" applyFon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7"/>
  <sheetViews>
    <sheetView view="pageBreakPreview" topLeftCell="A377" zoomScaleSheetLayoutView="100" workbookViewId="0">
      <selection activeCell="A381" sqref="A381:XFD381"/>
    </sheetView>
  </sheetViews>
  <sheetFormatPr defaultColWidth="9.140625" defaultRowHeight="28.5" customHeight="1" x14ac:dyDescent="0.2"/>
  <cols>
    <col min="1" max="1" width="6.85546875" style="52" customWidth="1"/>
    <col min="2" max="2" width="37.85546875" style="52" customWidth="1"/>
    <col min="3" max="3" width="18.85546875" style="52" customWidth="1"/>
    <col min="4" max="4" width="17.7109375" style="52" customWidth="1"/>
    <col min="5" max="5" width="15" style="52" customWidth="1"/>
    <col min="6" max="6" width="15.42578125" style="52" customWidth="1"/>
    <col min="7" max="7" width="12.28515625" style="205" customWidth="1"/>
    <col min="8" max="8" width="0.42578125" style="52" hidden="1" customWidth="1"/>
    <col min="9" max="11" width="9.140625" style="52"/>
    <col min="12" max="12" width="10" style="52" bestFit="1" customWidth="1"/>
    <col min="13" max="16384" width="9.140625" style="52"/>
  </cols>
  <sheetData>
    <row r="1" spans="1:8" ht="17.25" customHeight="1" x14ac:dyDescent="0.2">
      <c r="A1" s="51"/>
      <c r="B1" s="51"/>
      <c r="C1" s="51"/>
      <c r="D1" s="51"/>
      <c r="E1" s="220" t="s">
        <v>762</v>
      </c>
      <c r="F1" s="220"/>
      <c r="G1" s="242"/>
      <c r="H1" s="242"/>
    </row>
    <row r="2" spans="1:8" ht="63.75" customHeight="1" x14ac:dyDescent="0.2">
      <c r="A2" s="51"/>
      <c r="B2" s="51"/>
      <c r="C2" s="51"/>
      <c r="D2" s="51"/>
      <c r="E2" s="221" t="s">
        <v>805</v>
      </c>
      <c r="F2" s="221"/>
      <c r="G2" s="221"/>
      <c r="H2" s="221"/>
    </row>
    <row r="3" spans="1:8" ht="45.75" customHeight="1" x14ac:dyDescent="0.2">
      <c r="A3" s="51"/>
      <c r="B3" s="249" t="s">
        <v>804</v>
      </c>
      <c r="C3" s="249"/>
      <c r="D3" s="249"/>
      <c r="E3" s="249"/>
      <c r="F3" s="249"/>
      <c r="G3" s="249"/>
      <c r="H3" s="51"/>
    </row>
    <row r="4" spans="1:8" ht="8.25" hidden="1" customHeight="1" x14ac:dyDescent="0.2">
      <c r="A4" s="51"/>
      <c r="B4" s="51"/>
      <c r="C4" s="51"/>
      <c r="D4" s="51"/>
      <c r="E4" s="51"/>
      <c r="F4" s="51"/>
      <c r="G4" s="53"/>
      <c r="H4" s="51"/>
    </row>
    <row r="5" spans="1:8" ht="25.5" customHeight="1" x14ac:dyDescent="0.2">
      <c r="A5" s="54" t="s">
        <v>45</v>
      </c>
      <c r="B5" s="54" t="s">
        <v>46</v>
      </c>
      <c r="C5" s="54"/>
      <c r="D5" s="54"/>
      <c r="E5" s="54"/>
      <c r="F5" s="54"/>
      <c r="G5" s="55">
        <f>G7+G29+G63+G93+G113</f>
        <v>1541159.5174400001</v>
      </c>
      <c r="H5" s="54"/>
    </row>
    <row r="6" spans="1:8" ht="16.5" customHeight="1" x14ac:dyDescent="0.2">
      <c r="A6" s="51"/>
      <c r="B6" s="51"/>
      <c r="C6" s="51"/>
      <c r="D6" s="51"/>
      <c r="E6" s="51"/>
      <c r="F6" s="51"/>
      <c r="G6" s="53"/>
      <c r="H6" s="51"/>
    </row>
    <row r="7" spans="1:8" s="58" customFormat="1" ht="28.5" customHeight="1" x14ac:dyDescent="0.25">
      <c r="A7" s="56" t="s">
        <v>47</v>
      </c>
      <c r="B7" s="56" t="s">
        <v>44</v>
      </c>
      <c r="C7" s="56"/>
      <c r="D7" s="56"/>
      <c r="E7" s="56"/>
      <c r="F7" s="56"/>
      <c r="G7" s="57">
        <f>G8+G13+G21+G22+G27+G28</f>
        <v>158795.31744000001</v>
      </c>
      <c r="H7" s="56"/>
    </row>
    <row r="8" spans="1:8" s="58" customFormat="1" ht="28.5" customHeight="1" x14ac:dyDescent="0.25">
      <c r="A8" s="59" t="s">
        <v>43</v>
      </c>
      <c r="B8" s="59" t="s">
        <v>48</v>
      </c>
      <c r="C8" s="59"/>
      <c r="D8" s="59"/>
      <c r="E8" s="59"/>
      <c r="F8" s="59"/>
      <c r="G8" s="60">
        <f>F11</f>
        <v>9450</v>
      </c>
      <c r="H8" s="59"/>
    </row>
    <row r="9" spans="1:8" ht="17.25" customHeight="1" x14ac:dyDescent="0.2">
      <c r="A9" s="51"/>
      <c r="B9" s="51"/>
      <c r="C9" s="51"/>
      <c r="D9" s="51"/>
      <c r="E9" s="51"/>
      <c r="F9" s="51"/>
      <c r="G9" s="53"/>
      <c r="H9" s="51"/>
    </row>
    <row r="10" spans="1:8" ht="111.75" customHeight="1" x14ac:dyDescent="0.2">
      <c r="A10" s="51"/>
      <c r="B10" s="61" t="s">
        <v>359</v>
      </c>
      <c r="C10" s="62" t="s">
        <v>49</v>
      </c>
      <c r="D10" s="62" t="s">
        <v>50</v>
      </c>
      <c r="E10" s="62" t="s">
        <v>51</v>
      </c>
      <c r="F10" s="61" t="s">
        <v>5</v>
      </c>
      <c r="G10" s="53"/>
      <c r="H10" s="51"/>
    </row>
    <row r="11" spans="1:8" ht="35.25" customHeight="1" x14ac:dyDescent="0.2">
      <c r="A11" s="51"/>
      <c r="B11" s="63" t="s">
        <v>761</v>
      </c>
      <c r="C11" s="64">
        <v>2</v>
      </c>
      <c r="D11" s="65">
        <f>375*1.05</f>
        <v>393.75</v>
      </c>
      <c r="E11" s="65">
        <v>12</v>
      </c>
      <c r="F11" s="65">
        <f>C11*D11*E11</f>
        <v>9450</v>
      </c>
      <c r="G11" s="66"/>
      <c r="H11" s="51"/>
    </row>
    <row r="12" spans="1:8" ht="17.25" customHeight="1" x14ac:dyDescent="0.2">
      <c r="A12" s="51"/>
      <c r="B12" s="51"/>
      <c r="C12" s="51"/>
      <c r="D12" s="51"/>
      <c r="E12" s="51"/>
      <c r="F12" s="51"/>
      <c r="G12" s="53"/>
      <c r="H12" s="51"/>
    </row>
    <row r="13" spans="1:8" s="58" customFormat="1" ht="28.5" customHeight="1" x14ac:dyDescent="0.25">
      <c r="A13" s="59" t="s">
        <v>52</v>
      </c>
      <c r="B13" s="59" t="s">
        <v>53</v>
      </c>
      <c r="C13" s="59"/>
      <c r="D13" s="59"/>
      <c r="E13" s="59"/>
      <c r="F13" s="59"/>
      <c r="G13" s="60">
        <f>G19</f>
        <v>22337.317439999999</v>
      </c>
      <c r="H13" s="59"/>
    </row>
    <row r="14" spans="1:8" ht="18.75" customHeight="1" x14ac:dyDescent="0.2">
      <c r="A14" s="51"/>
      <c r="B14" s="51"/>
      <c r="C14" s="51"/>
      <c r="D14" s="51"/>
      <c r="E14" s="51"/>
      <c r="F14" s="51"/>
      <c r="G14" s="53"/>
      <c r="H14" s="51"/>
    </row>
    <row r="15" spans="1:8" ht="76.5" customHeight="1" x14ac:dyDescent="0.2">
      <c r="A15" s="51"/>
      <c r="B15" s="61" t="s">
        <v>359</v>
      </c>
      <c r="C15" s="62" t="s">
        <v>49</v>
      </c>
      <c r="D15" s="62" t="s">
        <v>55</v>
      </c>
      <c r="E15" s="62" t="s">
        <v>56</v>
      </c>
      <c r="F15" s="62" t="s">
        <v>51</v>
      </c>
      <c r="G15" s="67" t="s">
        <v>5</v>
      </c>
      <c r="H15" s="51"/>
    </row>
    <row r="16" spans="1:8" ht="28.5" customHeight="1" x14ac:dyDescent="0.2">
      <c r="A16" s="51"/>
      <c r="B16" s="68" t="s">
        <v>58</v>
      </c>
      <c r="C16" s="69">
        <v>2</v>
      </c>
      <c r="D16" s="70" t="s">
        <v>57</v>
      </c>
      <c r="E16" s="71" t="s">
        <v>57</v>
      </c>
      <c r="F16" s="72">
        <v>12</v>
      </c>
      <c r="G16" s="70">
        <v>15808.32</v>
      </c>
      <c r="H16" s="73"/>
    </row>
    <row r="17" spans="1:11" ht="28.5" customHeight="1" x14ac:dyDescent="0.2">
      <c r="A17" s="51"/>
      <c r="B17" s="74" t="s">
        <v>59</v>
      </c>
      <c r="C17" s="75">
        <v>1</v>
      </c>
      <c r="D17" s="72">
        <v>120</v>
      </c>
      <c r="E17" s="215">
        <v>3.8705099999999995</v>
      </c>
      <c r="F17" s="72">
        <v>12</v>
      </c>
      <c r="G17" s="70">
        <f>C17*D17*E17*F17</f>
        <v>5573.5343999999996</v>
      </c>
      <c r="H17" s="73"/>
    </row>
    <row r="18" spans="1:11" ht="28.5" customHeight="1" x14ac:dyDescent="0.2">
      <c r="A18" s="51"/>
      <c r="B18" s="74" t="s">
        <v>54</v>
      </c>
      <c r="C18" s="75">
        <v>1</v>
      </c>
      <c r="D18" s="76">
        <v>8</v>
      </c>
      <c r="E18" s="216">
        <v>9.9527399999999986</v>
      </c>
      <c r="F18" s="76">
        <v>12</v>
      </c>
      <c r="G18" s="77">
        <f>C18*D18*E18*F18</f>
        <v>955.46303999999986</v>
      </c>
      <c r="H18" s="73"/>
    </row>
    <row r="19" spans="1:11" ht="28.5" customHeight="1" x14ac:dyDescent="0.2">
      <c r="A19" s="51"/>
      <c r="B19" s="79" t="s">
        <v>754</v>
      </c>
      <c r="C19" s="79"/>
      <c r="D19" s="79"/>
      <c r="E19" s="79"/>
      <c r="F19" s="79"/>
      <c r="G19" s="80">
        <f>SUM(G16:G18)</f>
        <v>22337.317439999999</v>
      </c>
      <c r="H19" s="51"/>
      <c r="K19" s="177"/>
    </row>
    <row r="20" spans="1:11" ht="28.5" customHeight="1" x14ac:dyDescent="0.2">
      <c r="A20" s="51"/>
      <c r="B20" s="51"/>
      <c r="C20" s="51"/>
      <c r="D20" s="51"/>
      <c r="E20" s="51"/>
      <c r="F20" s="51"/>
      <c r="G20" s="53"/>
      <c r="H20" s="51"/>
    </row>
    <row r="21" spans="1:11" s="58" customFormat="1" ht="28.5" customHeight="1" x14ac:dyDescent="0.25">
      <c r="A21" s="59" t="s">
        <v>62</v>
      </c>
      <c r="B21" s="230" t="s">
        <v>63</v>
      </c>
      <c r="C21" s="230"/>
      <c r="D21" s="230"/>
      <c r="E21" s="230"/>
      <c r="F21" s="230"/>
      <c r="G21" s="60">
        <v>0</v>
      </c>
      <c r="H21" s="59"/>
    </row>
    <row r="22" spans="1:11" s="58" customFormat="1" ht="28.5" customHeight="1" x14ac:dyDescent="0.25">
      <c r="A22" s="59" t="s">
        <v>64</v>
      </c>
      <c r="B22" s="59" t="s">
        <v>65</v>
      </c>
      <c r="C22" s="59"/>
      <c r="D22" s="59"/>
      <c r="E22" s="59"/>
      <c r="F22" s="59"/>
      <c r="G22" s="60">
        <f>F25</f>
        <v>127008</v>
      </c>
      <c r="H22" s="59"/>
    </row>
    <row r="23" spans="1:11" ht="21" customHeight="1" x14ac:dyDescent="0.2">
      <c r="A23" s="51"/>
      <c r="B23" s="51"/>
      <c r="C23" s="51"/>
      <c r="D23" s="51"/>
      <c r="E23" s="51"/>
      <c r="F23" s="51"/>
      <c r="G23" s="53"/>
      <c r="H23" s="51"/>
    </row>
    <row r="24" spans="1:11" ht="60" customHeight="1" x14ac:dyDescent="0.2">
      <c r="A24" s="51"/>
      <c r="B24" s="61" t="s">
        <v>359</v>
      </c>
      <c r="C24" s="62" t="s">
        <v>66</v>
      </c>
      <c r="D24" s="62" t="s">
        <v>67</v>
      </c>
      <c r="E24" s="62" t="s">
        <v>51</v>
      </c>
      <c r="F24" s="61" t="s">
        <v>5</v>
      </c>
      <c r="G24" s="53"/>
      <c r="H24" s="51"/>
    </row>
    <row r="25" spans="1:11" ht="49.5" customHeight="1" x14ac:dyDescent="0.2">
      <c r="A25" s="51"/>
      <c r="B25" s="78" t="s">
        <v>749</v>
      </c>
      <c r="C25" s="61">
        <v>2</v>
      </c>
      <c r="D25" s="72">
        <f>4800*1.05*1.05</f>
        <v>5292</v>
      </c>
      <c r="E25" s="72">
        <v>12</v>
      </c>
      <c r="F25" s="72">
        <f>C25*D25*E25</f>
        <v>127008</v>
      </c>
      <c r="G25" s="66"/>
      <c r="H25" s="51"/>
    </row>
    <row r="26" spans="1:11" ht="13.5" customHeight="1" x14ac:dyDescent="0.2">
      <c r="A26" s="51"/>
      <c r="B26" s="51"/>
      <c r="C26" s="51"/>
      <c r="D26" s="51"/>
      <c r="E26" s="51"/>
      <c r="F26" s="51"/>
      <c r="G26" s="53"/>
      <c r="H26" s="51"/>
    </row>
    <row r="27" spans="1:11" s="58" customFormat="1" ht="28.5" customHeight="1" x14ac:dyDescent="0.25">
      <c r="A27" s="59" t="s">
        <v>68</v>
      </c>
      <c r="B27" s="230" t="s">
        <v>69</v>
      </c>
      <c r="C27" s="230"/>
      <c r="D27" s="230"/>
      <c r="E27" s="230"/>
      <c r="F27" s="230"/>
      <c r="G27" s="60">
        <v>0</v>
      </c>
      <c r="H27" s="59"/>
    </row>
    <row r="28" spans="1:11" s="58" customFormat="1" ht="28.5" customHeight="1" x14ac:dyDescent="0.25">
      <c r="A28" s="59" t="s">
        <v>70</v>
      </c>
      <c r="B28" s="230" t="s">
        <v>71</v>
      </c>
      <c r="C28" s="230"/>
      <c r="D28" s="230"/>
      <c r="E28" s="230"/>
      <c r="F28" s="230"/>
      <c r="G28" s="60">
        <v>0</v>
      </c>
      <c r="H28" s="59"/>
    </row>
    <row r="29" spans="1:11" ht="28.5" customHeight="1" x14ac:dyDescent="0.2">
      <c r="A29" s="54" t="s">
        <v>72</v>
      </c>
      <c r="B29" s="54" t="s">
        <v>73</v>
      </c>
      <c r="C29" s="51"/>
      <c r="D29" s="51"/>
      <c r="E29" s="51"/>
      <c r="F29" s="51"/>
      <c r="G29" s="55">
        <f>G30+G40+G41+G46+G47+G48</f>
        <v>219956.1</v>
      </c>
      <c r="H29" s="51"/>
    </row>
    <row r="30" spans="1:11" s="58" customFormat="1" ht="28.5" customHeight="1" x14ac:dyDescent="0.25">
      <c r="A30" s="59" t="s">
        <v>74</v>
      </c>
      <c r="B30" s="250" t="s">
        <v>372</v>
      </c>
      <c r="C30" s="251"/>
      <c r="D30" s="251"/>
      <c r="E30" s="251"/>
      <c r="F30" s="251"/>
      <c r="G30" s="60">
        <f>E33+E34</f>
        <v>40131</v>
      </c>
      <c r="H30" s="59"/>
    </row>
    <row r="31" spans="1:11" s="58" customFormat="1" ht="18.75" customHeight="1" x14ac:dyDescent="0.25">
      <c r="A31" s="59"/>
      <c r="B31" s="81"/>
      <c r="C31" s="59"/>
      <c r="D31" s="59"/>
      <c r="E31" s="59"/>
      <c r="F31" s="59"/>
      <c r="G31" s="60"/>
      <c r="H31" s="59"/>
    </row>
    <row r="32" spans="1:11" ht="71.25" customHeight="1" x14ac:dyDescent="0.2">
      <c r="A32" s="51"/>
      <c r="B32" s="62" t="s">
        <v>2</v>
      </c>
      <c r="C32" s="62" t="s">
        <v>2</v>
      </c>
      <c r="D32" s="62" t="s">
        <v>367</v>
      </c>
      <c r="E32" s="61" t="s">
        <v>4</v>
      </c>
      <c r="F32" s="51"/>
      <c r="G32" s="53"/>
      <c r="H32" s="51"/>
    </row>
    <row r="33" spans="1:8" ht="28.5" customHeight="1" x14ac:dyDescent="0.2">
      <c r="A33" s="51"/>
      <c r="B33" s="82" t="s">
        <v>253</v>
      </c>
      <c r="C33" s="83">
        <v>1</v>
      </c>
      <c r="D33" s="65">
        <f>15000*1.04*1.05*1.05</f>
        <v>17199</v>
      </c>
      <c r="E33" s="84">
        <f>C33*D33</f>
        <v>17199</v>
      </c>
      <c r="F33" s="51"/>
      <c r="G33" s="53"/>
      <c r="H33" s="51"/>
    </row>
    <row r="34" spans="1:8" ht="28.5" customHeight="1" x14ac:dyDescent="0.2">
      <c r="A34" s="51"/>
      <c r="B34" s="82" t="s">
        <v>373</v>
      </c>
      <c r="C34" s="83">
        <v>2</v>
      </c>
      <c r="D34" s="65">
        <f>10000*1.04*1.05*1.05</f>
        <v>11466</v>
      </c>
      <c r="E34" s="84">
        <f>C34*D34</f>
        <v>22932</v>
      </c>
      <c r="F34" s="51"/>
      <c r="G34" s="53"/>
      <c r="H34" s="51"/>
    </row>
    <row r="35" spans="1:8" s="58" customFormat="1" ht="28.5" customHeight="1" x14ac:dyDescent="0.25">
      <c r="A35" s="59"/>
      <c r="B35" s="85"/>
      <c r="C35" s="59"/>
      <c r="D35" s="59"/>
      <c r="E35" s="59"/>
      <c r="F35" s="59"/>
      <c r="G35" s="60"/>
      <c r="H35" s="59"/>
    </row>
    <row r="36" spans="1:8" ht="28.5" customHeight="1" x14ac:dyDescent="0.2">
      <c r="A36" s="51"/>
      <c r="B36" s="61" t="s">
        <v>249</v>
      </c>
      <c r="C36" s="61" t="s">
        <v>0</v>
      </c>
      <c r="D36" s="61" t="s">
        <v>6</v>
      </c>
      <c r="E36" s="61" t="s">
        <v>5</v>
      </c>
      <c r="F36" s="51"/>
      <c r="G36" s="53"/>
      <c r="H36" s="51"/>
    </row>
    <row r="37" spans="1:8" ht="28.5" customHeight="1" x14ac:dyDescent="0.2">
      <c r="A37" s="51"/>
      <c r="B37" s="68" t="s">
        <v>3</v>
      </c>
      <c r="C37" s="69">
        <v>8</v>
      </c>
      <c r="D37" s="69">
        <v>1.5</v>
      </c>
      <c r="E37" s="86">
        <f>C37*D37</f>
        <v>12</v>
      </c>
      <c r="F37" s="51"/>
      <c r="G37" s="53"/>
      <c r="H37" s="51"/>
    </row>
    <row r="38" spans="1:8" ht="28.5" customHeight="1" x14ac:dyDescent="0.2">
      <c r="A38" s="51"/>
      <c r="B38" s="68" t="s">
        <v>2</v>
      </c>
      <c r="C38" s="87">
        <v>8</v>
      </c>
      <c r="D38" s="69" t="s">
        <v>567</v>
      </c>
      <c r="E38" s="69"/>
      <c r="F38" s="51"/>
      <c r="G38" s="53"/>
      <c r="H38" s="51"/>
    </row>
    <row r="39" spans="1:8" ht="15.75" customHeight="1" x14ac:dyDescent="0.2">
      <c r="A39" s="51"/>
      <c r="B39" s="88"/>
      <c r="C39" s="51"/>
      <c r="D39" s="51"/>
      <c r="E39" s="51"/>
      <c r="F39" s="51"/>
      <c r="G39" s="89"/>
      <c r="H39" s="51"/>
    </row>
    <row r="40" spans="1:8" ht="28.5" customHeight="1" x14ac:dyDescent="0.2">
      <c r="A40" s="51" t="s">
        <v>75</v>
      </c>
      <c r="B40" s="238" t="s">
        <v>76</v>
      </c>
      <c r="C40" s="238"/>
      <c r="D40" s="238"/>
      <c r="E40" s="238"/>
      <c r="F40" s="238"/>
      <c r="G40" s="89">
        <v>0</v>
      </c>
      <c r="H40" s="51"/>
    </row>
    <row r="41" spans="1:8" ht="28.5" customHeight="1" x14ac:dyDescent="0.2">
      <c r="A41" s="51" t="s">
        <v>77</v>
      </c>
      <c r="B41" s="238" t="s">
        <v>9</v>
      </c>
      <c r="C41" s="238"/>
      <c r="D41" s="238"/>
      <c r="E41" s="238"/>
      <c r="F41" s="238"/>
      <c r="G41" s="89">
        <f>D44</f>
        <v>80262</v>
      </c>
      <c r="H41" s="51"/>
    </row>
    <row r="42" spans="1:8" ht="19.5" customHeight="1" x14ac:dyDescent="0.2">
      <c r="A42" s="51"/>
      <c r="B42" s="90"/>
      <c r="C42" s="90"/>
      <c r="D42" s="90"/>
      <c r="E42" s="90"/>
      <c r="F42" s="90"/>
      <c r="G42" s="89"/>
      <c r="H42" s="51"/>
    </row>
    <row r="43" spans="1:8" ht="91.5" customHeight="1" x14ac:dyDescent="0.2">
      <c r="B43" s="91" t="s">
        <v>374</v>
      </c>
      <c r="C43" s="91" t="s">
        <v>7</v>
      </c>
      <c r="D43" s="92" t="s">
        <v>4</v>
      </c>
      <c r="G43" s="52"/>
    </row>
    <row r="44" spans="1:8" ht="28.5" customHeight="1" x14ac:dyDescent="0.2">
      <c r="B44" s="93">
        <v>1</v>
      </c>
      <c r="C44" s="94">
        <f>70000*1.04*1.05*1.05</f>
        <v>80262</v>
      </c>
      <c r="D44" s="95">
        <f>B44*C44</f>
        <v>80262</v>
      </c>
      <c r="E44" s="227"/>
      <c r="F44" s="240"/>
      <c r="G44" s="240"/>
    </row>
    <row r="45" spans="1:8" ht="18" customHeight="1" x14ac:dyDescent="0.2">
      <c r="A45" s="51"/>
      <c r="B45" s="90"/>
      <c r="C45" s="90"/>
      <c r="D45" s="90"/>
      <c r="E45" s="90"/>
      <c r="F45" s="90"/>
      <c r="G45" s="89"/>
      <c r="H45" s="51"/>
    </row>
    <row r="46" spans="1:8" ht="28.5" customHeight="1" x14ac:dyDescent="0.2">
      <c r="A46" s="51" t="s">
        <v>78</v>
      </c>
      <c r="B46" s="238" t="s">
        <v>8</v>
      </c>
      <c r="C46" s="238"/>
      <c r="D46" s="238"/>
      <c r="E46" s="238"/>
      <c r="F46" s="238"/>
      <c r="G46" s="89">
        <v>0</v>
      </c>
      <c r="H46" s="51"/>
    </row>
    <row r="47" spans="1:8" ht="28.5" customHeight="1" x14ac:dyDescent="0.2">
      <c r="A47" s="51" t="s">
        <v>79</v>
      </c>
      <c r="B47" s="238" t="s">
        <v>80</v>
      </c>
      <c r="C47" s="238"/>
      <c r="D47" s="238"/>
      <c r="E47" s="238"/>
      <c r="F47" s="238"/>
      <c r="G47" s="89">
        <v>0</v>
      </c>
      <c r="H47" s="51"/>
    </row>
    <row r="48" spans="1:8" ht="28.5" customHeight="1" x14ac:dyDescent="0.2">
      <c r="A48" s="51" t="s">
        <v>81</v>
      </c>
      <c r="B48" s="239" t="s">
        <v>375</v>
      </c>
      <c r="C48" s="239"/>
      <c r="D48" s="239"/>
      <c r="E48" s="239"/>
      <c r="F48" s="239"/>
      <c r="G48" s="89">
        <f>E55+E61</f>
        <v>99563.1</v>
      </c>
      <c r="H48" s="51"/>
    </row>
    <row r="49" spans="1:9" ht="17.25" customHeight="1" x14ac:dyDescent="0.2">
      <c r="A49" s="51"/>
      <c r="B49" s="96"/>
      <c r="C49" s="96"/>
      <c r="D49" s="96"/>
      <c r="E49" s="96"/>
      <c r="F49" s="96"/>
      <c r="G49" s="53"/>
      <c r="H49" s="51"/>
    </row>
    <row r="50" spans="1:9" ht="86.25" customHeight="1" x14ac:dyDescent="0.2">
      <c r="A50" s="51"/>
      <c r="B50" s="61" t="s">
        <v>360</v>
      </c>
      <c r="C50" s="62" t="s">
        <v>12</v>
      </c>
      <c r="D50" s="62" t="s">
        <v>7</v>
      </c>
      <c r="E50" s="61" t="s">
        <v>4</v>
      </c>
      <c r="F50" s="51"/>
      <c r="G50" s="53"/>
      <c r="H50" s="51"/>
    </row>
    <row r="51" spans="1:9" ht="28.5" customHeight="1" x14ac:dyDescent="0.2">
      <c r="A51" s="51"/>
      <c r="B51" s="74" t="s">
        <v>358</v>
      </c>
      <c r="C51" s="97">
        <v>1</v>
      </c>
      <c r="D51" s="76">
        <f>5000*1.04*1.05</f>
        <v>5460</v>
      </c>
      <c r="E51" s="76">
        <f t="shared" ref="E51:E54" si="0">C51*D51</f>
        <v>5460</v>
      </c>
      <c r="F51" s="51"/>
      <c r="G51" s="53"/>
      <c r="H51" s="51"/>
    </row>
    <row r="52" spans="1:9" ht="28.5" customHeight="1" x14ac:dyDescent="0.2">
      <c r="A52" s="51"/>
      <c r="B52" s="74" t="s">
        <v>363</v>
      </c>
      <c r="C52" s="97">
        <v>1</v>
      </c>
      <c r="D52" s="76">
        <f>5000*1.04*1.05</f>
        <v>5460</v>
      </c>
      <c r="E52" s="76">
        <f t="shared" si="0"/>
        <v>5460</v>
      </c>
      <c r="F52" s="51"/>
      <c r="G52" s="53"/>
      <c r="H52" s="51"/>
    </row>
    <row r="53" spans="1:9" ht="28.5" customHeight="1" x14ac:dyDescent="0.2">
      <c r="A53" s="51"/>
      <c r="B53" s="74" t="s">
        <v>357</v>
      </c>
      <c r="C53" s="97">
        <v>1</v>
      </c>
      <c r="D53" s="76">
        <f>6000*1.04*1.05</f>
        <v>6552</v>
      </c>
      <c r="E53" s="76">
        <f t="shared" si="0"/>
        <v>6552</v>
      </c>
      <c r="F53" s="51"/>
      <c r="G53" s="53"/>
      <c r="H53" s="51"/>
    </row>
    <row r="54" spans="1:9" ht="28.5" customHeight="1" x14ac:dyDescent="0.2">
      <c r="A54" s="51"/>
      <c r="B54" s="75" t="s">
        <v>366</v>
      </c>
      <c r="C54" s="97">
        <v>1</v>
      </c>
      <c r="D54" s="76">
        <f>10000*1.04*1.05</f>
        <v>10920</v>
      </c>
      <c r="E54" s="76">
        <f t="shared" si="0"/>
        <v>10920</v>
      </c>
      <c r="F54" s="51"/>
      <c r="G54" s="53"/>
      <c r="H54" s="51"/>
      <c r="I54" s="98"/>
    </row>
    <row r="55" spans="1:9" ht="28.5" customHeight="1" x14ac:dyDescent="0.2">
      <c r="A55" s="51"/>
      <c r="B55" s="63" t="s">
        <v>568</v>
      </c>
      <c r="C55" s="64"/>
      <c r="D55" s="64"/>
      <c r="E55" s="84">
        <f>SUM(E51:E54)</f>
        <v>28392</v>
      </c>
      <c r="F55" s="51"/>
      <c r="G55" s="53"/>
      <c r="H55" s="51"/>
    </row>
    <row r="56" spans="1:9" ht="21.75" customHeight="1" x14ac:dyDescent="0.2">
      <c r="A56" s="51"/>
      <c r="B56" s="99"/>
      <c r="C56" s="100"/>
      <c r="D56" s="100"/>
      <c r="E56" s="101"/>
      <c r="F56" s="51"/>
      <c r="G56" s="53"/>
      <c r="H56" s="51"/>
    </row>
    <row r="57" spans="1:9" ht="93.75" customHeight="1" x14ac:dyDescent="0.2">
      <c r="A57" s="51"/>
      <c r="B57" s="61" t="s">
        <v>360</v>
      </c>
      <c r="C57" s="62" t="s">
        <v>12</v>
      </c>
      <c r="D57" s="62" t="s">
        <v>7</v>
      </c>
      <c r="E57" s="61" t="s">
        <v>4</v>
      </c>
      <c r="F57" s="51"/>
      <c r="G57" s="53"/>
      <c r="H57" s="51"/>
    </row>
    <row r="58" spans="1:9" ht="28.5" customHeight="1" x14ac:dyDescent="0.2">
      <c r="A58" s="51"/>
      <c r="B58" s="63" t="s">
        <v>571</v>
      </c>
      <c r="C58" s="97">
        <v>1</v>
      </c>
      <c r="D58" s="76">
        <f>51000*1.04*1.05</f>
        <v>55692</v>
      </c>
      <c r="E58" s="76">
        <f t="shared" ref="E58:E60" si="1">C58*D58</f>
        <v>55692</v>
      </c>
      <c r="F58" s="51"/>
      <c r="G58" s="53"/>
      <c r="H58" s="51"/>
    </row>
    <row r="59" spans="1:9" ht="28.5" customHeight="1" x14ac:dyDescent="0.2">
      <c r="A59" s="51"/>
      <c r="B59" s="63" t="s">
        <v>572</v>
      </c>
      <c r="C59" s="97">
        <v>1</v>
      </c>
      <c r="D59" s="76">
        <f>3500*1.04*1.05*1.05</f>
        <v>4013.1000000000004</v>
      </c>
      <c r="E59" s="76">
        <f t="shared" si="1"/>
        <v>4013.1000000000004</v>
      </c>
      <c r="F59" s="51"/>
      <c r="G59" s="53"/>
      <c r="H59" s="51"/>
    </row>
    <row r="60" spans="1:9" ht="28.5" customHeight="1" x14ac:dyDescent="0.2">
      <c r="A60" s="51"/>
      <c r="B60" s="63" t="s">
        <v>573</v>
      </c>
      <c r="C60" s="97">
        <v>1</v>
      </c>
      <c r="D60" s="76">
        <f>10000*1.04*1.05*1.05</f>
        <v>11466</v>
      </c>
      <c r="E60" s="76">
        <f t="shared" si="1"/>
        <v>11466</v>
      </c>
      <c r="F60" s="51"/>
      <c r="G60" s="53"/>
      <c r="H60" s="51"/>
    </row>
    <row r="61" spans="1:9" ht="28.5" customHeight="1" x14ac:dyDescent="0.2">
      <c r="A61" s="51"/>
      <c r="B61" s="63" t="s">
        <v>745</v>
      </c>
      <c r="C61" s="64"/>
      <c r="D61" s="64"/>
      <c r="E61" s="84">
        <f>SUM(E58:E60)</f>
        <v>71171.100000000006</v>
      </c>
      <c r="F61" s="51"/>
      <c r="G61" s="53"/>
      <c r="H61" s="51"/>
    </row>
    <row r="62" spans="1:9" ht="22.5" customHeight="1" x14ac:dyDescent="0.2">
      <c r="A62" s="102"/>
      <c r="B62" s="103"/>
      <c r="C62" s="103"/>
      <c r="D62" s="104"/>
      <c r="E62" s="105"/>
      <c r="F62" s="106"/>
      <c r="G62" s="102"/>
      <c r="H62" s="102"/>
    </row>
    <row r="63" spans="1:9" ht="28.5" customHeight="1" x14ac:dyDescent="0.2">
      <c r="A63" s="54" t="s">
        <v>10</v>
      </c>
      <c r="B63" s="235" t="s">
        <v>82</v>
      </c>
      <c r="C63" s="235"/>
      <c r="D63" s="235"/>
      <c r="E63" s="235"/>
      <c r="F63" s="235"/>
      <c r="G63" s="55">
        <f>G64+G84</f>
        <v>14196</v>
      </c>
      <c r="H63" s="54"/>
    </row>
    <row r="64" spans="1:9" ht="28.5" customHeight="1" x14ac:dyDescent="0.2">
      <c r="A64" s="51" t="s">
        <v>83</v>
      </c>
      <c r="B64" s="238" t="s">
        <v>14</v>
      </c>
      <c r="C64" s="238"/>
      <c r="D64" s="238"/>
      <c r="E64" s="238"/>
      <c r="F64" s="238"/>
      <c r="G64" s="89">
        <f>D67</f>
        <v>0</v>
      </c>
      <c r="H64" s="51"/>
    </row>
    <row r="65" spans="1:8" ht="28.5" hidden="1" customHeight="1" x14ac:dyDescent="0.2">
      <c r="A65" s="51"/>
      <c r="B65" s="88"/>
      <c r="C65" s="51"/>
      <c r="D65" s="51"/>
      <c r="E65" s="51"/>
      <c r="F65" s="51"/>
      <c r="G65" s="53"/>
      <c r="H65" s="51"/>
    </row>
    <row r="66" spans="1:8" ht="89.25" hidden="1" customHeight="1" x14ac:dyDescent="0.2">
      <c r="A66" s="51"/>
      <c r="B66" s="62" t="s">
        <v>15</v>
      </c>
      <c r="C66" s="62" t="s">
        <v>16</v>
      </c>
      <c r="D66" s="61" t="s">
        <v>4</v>
      </c>
      <c r="E66" s="51"/>
      <c r="F66" s="51"/>
      <c r="G66" s="53"/>
      <c r="H66" s="51"/>
    </row>
    <row r="67" spans="1:8" ht="28.5" hidden="1" customHeight="1" x14ac:dyDescent="0.2">
      <c r="A67" s="51"/>
      <c r="B67" s="107">
        <f>G69</f>
        <v>0</v>
      </c>
      <c r="C67" s="108">
        <v>0</v>
      </c>
      <c r="D67" s="109">
        <v>0</v>
      </c>
      <c r="E67" s="51"/>
      <c r="F67" s="51"/>
      <c r="G67" s="53"/>
      <c r="H67" s="51"/>
    </row>
    <row r="68" spans="1:8" ht="21" hidden="1" customHeight="1" x14ac:dyDescent="0.2">
      <c r="A68" s="51"/>
      <c r="B68" s="88"/>
      <c r="C68" s="51"/>
      <c r="D68" s="54"/>
      <c r="E68" s="51"/>
      <c r="F68" s="51"/>
      <c r="G68" s="53"/>
      <c r="H68" s="51"/>
    </row>
    <row r="69" spans="1:8" s="58" customFormat="1" ht="28.5" customHeight="1" x14ac:dyDescent="0.25">
      <c r="A69" s="59" t="s">
        <v>84</v>
      </c>
      <c r="B69" s="85" t="s">
        <v>15</v>
      </c>
      <c r="C69" s="59"/>
      <c r="D69" s="59"/>
      <c r="E69" s="59"/>
      <c r="F69" s="110"/>
      <c r="G69" s="60">
        <f>C73</f>
        <v>0</v>
      </c>
      <c r="H69" s="59"/>
    </row>
    <row r="70" spans="1:8" ht="28.5" hidden="1" customHeight="1" x14ac:dyDescent="0.2">
      <c r="A70" s="51"/>
      <c r="B70" s="88"/>
      <c r="C70" s="51"/>
      <c r="D70" s="51"/>
      <c r="E70" s="51"/>
      <c r="F70" s="73"/>
      <c r="G70" s="66"/>
      <c r="H70" s="51"/>
    </row>
    <row r="71" spans="1:8" ht="73.5" hidden="1" customHeight="1" x14ac:dyDescent="0.2">
      <c r="A71" s="51"/>
      <c r="B71" s="62" t="s">
        <v>18</v>
      </c>
      <c r="C71" s="62" t="s">
        <v>19</v>
      </c>
      <c r="D71" s="51"/>
      <c r="E71" s="51"/>
      <c r="F71" s="111"/>
      <c r="G71" s="53"/>
      <c r="H71" s="51"/>
    </row>
    <row r="72" spans="1:8" ht="21" hidden="1" customHeight="1" x14ac:dyDescent="0.2">
      <c r="A72" s="51"/>
      <c r="B72" s="78" t="s">
        <v>565</v>
      </c>
      <c r="C72" s="112">
        <v>0</v>
      </c>
      <c r="D72" s="113"/>
      <c r="E72" s="73"/>
      <c r="F72" s="51"/>
      <c r="G72" s="53"/>
      <c r="H72" s="51"/>
    </row>
    <row r="73" spans="1:8" ht="22.5" hidden="1" customHeight="1" x14ac:dyDescent="0.2">
      <c r="A73" s="51"/>
      <c r="B73" s="79" t="s">
        <v>5</v>
      </c>
      <c r="C73" s="114">
        <f>SUM(C72:C72)</f>
        <v>0</v>
      </c>
      <c r="D73" s="51"/>
      <c r="E73" s="51"/>
      <c r="F73" s="51"/>
      <c r="G73" s="53"/>
      <c r="H73" s="51"/>
    </row>
    <row r="74" spans="1:8" ht="28.5" hidden="1" customHeight="1" x14ac:dyDescent="0.2">
      <c r="A74" s="51"/>
      <c r="B74" s="51"/>
      <c r="C74" s="51"/>
      <c r="D74" s="51"/>
      <c r="E74" s="51"/>
      <c r="F74" s="51"/>
      <c r="G74" s="53"/>
      <c r="H74" s="51"/>
    </row>
    <row r="75" spans="1:8" s="58" customFormat="1" ht="28.5" customHeight="1" x14ac:dyDescent="0.25">
      <c r="A75" s="59" t="s">
        <v>85</v>
      </c>
      <c r="B75" s="85" t="s">
        <v>16</v>
      </c>
      <c r="C75" s="59"/>
      <c r="D75" s="59"/>
      <c r="E75" s="59"/>
      <c r="F75" s="59"/>
      <c r="G75" s="60">
        <f>C83</f>
        <v>120046.5</v>
      </c>
      <c r="H75" s="59"/>
    </row>
    <row r="76" spans="1:8" ht="58.5" customHeight="1" x14ac:dyDescent="0.2">
      <c r="A76" s="51"/>
      <c r="B76" s="62" t="s">
        <v>21</v>
      </c>
      <c r="C76" s="62" t="s">
        <v>20</v>
      </c>
      <c r="D76" s="51"/>
      <c r="E76" s="51"/>
      <c r="F76" s="51"/>
      <c r="G76" s="53"/>
      <c r="H76" s="51"/>
    </row>
    <row r="77" spans="1:8" ht="28.5" customHeight="1" x14ac:dyDescent="0.2">
      <c r="A77" s="51"/>
      <c r="B77" s="115" t="s">
        <v>470</v>
      </c>
      <c r="C77" s="114">
        <f>30000*1.04*1.05*1.05</f>
        <v>34398</v>
      </c>
      <c r="D77" s="116"/>
      <c r="E77" s="116"/>
      <c r="F77" s="51"/>
      <c r="G77" s="53"/>
      <c r="H77" s="51"/>
    </row>
    <row r="78" spans="1:8" ht="28.5" customHeight="1" x14ac:dyDescent="0.2">
      <c r="A78" s="51"/>
      <c r="B78" s="115" t="s">
        <v>471</v>
      </c>
      <c r="C78" s="114">
        <f>15000*1.05</f>
        <v>15750</v>
      </c>
      <c r="D78" s="116"/>
      <c r="E78" s="116"/>
      <c r="F78" s="51"/>
      <c r="G78" s="53"/>
      <c r="H78" s="51"/>
    </row>
    <row r="79" spans="1:8" ht="28.5" customHeight="1" x14ac:dyDescent="0.2">
      <c r="A79" s="102"/>
      <c r="B79" s="117" t="s">
        <v>575</v>
      </c>
      <c r="C79" s="65">
        <f>20000*1.05*1.05</f>
        <v>22050</v>
      </c>
      <c r="D79" s="118"/>
      <c r="E79" s="119"/>
      <c r="F79" s="102"/>
      <c r="G79" s="102"/>
      <c r="H79" s="102"/>
    </row>
    <row r="80" spans="1:8" ht="28.5" customHeight="1" x14ac:dyDescent="0.2">
      <c r="A80" s="51"/>
      <c r="B80" s="79" t="s">
        <v>22</v>
      </c>
      <c r="C80" s="108">
        <f>15000*1.05*1.05</f>
        <v>16537.5</v>
      </c>
      <c r="D80" s="116"/>
      <c r="E80" s="116"/>
      <c r="F80" s="51"/>
      <c r="G80" s="53"/>
      <c r="H80" s="51"/>
    </row>
    <row r="81" spans="1:8" s="51" customFormat="1" ht="28.5" customHeight="1" x14ac:dyDescent="0.2">
      <c r="B81" s="78" t="s">
        <v>576</v>
      </c>
      <c r="C81" s="108">
        <f>18000*1.05*1.05</f>
        <v>19845</v>
      </c>
      <c r="D81" s="73"/>
      <c r="E81" s="73"/>
      <c r="F81" s="73"/>
    </row>
    <row r="82" spans="1:8" s="51" customFormat="1" ht="28.5" customHeight="1" x14ac:dyDescent="0.2">
      <c r="B82" s="78" t="s">
        <v>577</v>
      </c>
      <c r="C82" s="108">
        <f>10000*1.04*1.05*1.05</f>
        <v>11466</v>
      </c>
      <c r="D82" s="73"/>
      <c r="E82" s="73"/>
      <c r="F82" s="73"/>
    </row>
    <row r="83" spans="1:8" ht="28.5" customHeight="1" x14ac:dyDescent="0.2">
      <c r="A83" s="51"/>
      <c r="B83" s="79" t="s">
        <v>5</v>
      </c>
      <c r="C83" s="108">
        <f>SUM(C77:C82)</f>
        <v>120046.5</v>
      </c>
      <c r="D83" s="51"/>
      <c r="E83" s="51"/>
      <c r="F83" s="51"/>
      <c r="G83" s="53"/>
      <c r="H83" s="51"/>
    </row>
    <row r="84" spans="1:8" s="58" customFormat="1" ht="28.5" customHeight="1" x14ac:dyDescent="0.25">
      <c r="A84" s="59" t="s">
        <v>86</v>
      </c>
      <c r="B84" s="59" t="s">
        <v>23</v>
      </c>
      <c r="C84" s="59"/>
      <c r="D84" s="59"/>
      <c r="E84" s="59"/>
      <c r="F84" s="110"/>
      <c r="G84" s="120">
        <f>G85+G86</f>
        <v>14196</v>
      </c>
      <c r="H84" s="59"/>
    </row>
    <row r="85" spans="1:8" s="58" customFormat="1" ht="28.5" customHeight="1" x14ac:dyDescent="0.25">
      <c r="A85" s="59" t="s">
        <v>88</v>
      </c>
      <c r="B85" s="230" t="s">
        <v>87</v>
      </c>
      <c r="C85" s="230"/>
      <c r="D85" s="230"/>
      <c r="E85" s="230"/>
      <c r="F85" s="230"/>
      <c r="G85" s="120">
        <v>0</v>
      </c>
      <c r="H85" s="59"/>
    </row>
    <row r="86" spans="1:8" s="58" customFormat="1" ht="28.5" customHeight="1" x14ac:dyDescent="0.25">
      <c r="A86" s="59" t="s">
        <v>89</v>
      </c>
      <c r="B86" s="230" t="s">
        <v>90</v>
      </c>
      <c r="C86" s="230"/>
      <c r="D86" s="230"/>
      <c r="E86" s="230"/>
      <c r="F86" s="230"/>
      <c r="G86" s="120">
        <f>E91</f>
        <v>14196</v>
      </c>
      <c r="H86" s="59"/>
    </row>
    <row r="87" spans="1:8" ht="28.5" customHeight="1" x14ac:dyDescent="0.2">
      <c r="A87" s="51"/>
      <c r="B87" s="121"/>
      <c r="C87" s="121"/>
      <c r="D87" s="121"/>
      <c r="E87" s="121"/>
      <c r="F87" s="121"/>
      <c r="G87" s="122"/>
      <c r="H87" s="51"/>
    </row>
    <row r="88" spans="1:8" ht="102" customHeight="1" x14ac:dyDescent="0.2">
      <c r="A88" s="51"/>
      <c r="B88" s="78"/>
      <c r="C88" s="62" t="s">
        <v>24</v>
      </c>
      <c r="D88" s="62" t="s">
        <v>25</v>
      </c>
      <c r="E88" s="79" t="s">
        <v>4</v>
      </c>
      <c r="F88" s="51"/>
      <c r="G88" s="51"/>
      <c r="H88" s="51"/>
    </row>
    <row r="89" spans="1:8" ht="28.5" customHeight="1" x14ac:dyDescent="0.2">
      <c r="A89" s="51"/>
      <c r="B89" s="64" t="s">
        <v>365</v>
      </c>
      <c r="C89" s="64">
        <v>4</v>
      </c>
      <c r="D89" s="65">
        <f>2000*1.04*1.05</f>
        <v>2184</v>
      </c>
      <c r="E89" s="84">
        <f>C89*D89</f>
        <v>8736</v>
      </c>
      <c r="F89" s="113"/>
      <c r="G89" s="51"/>
      <c r="H89" s="51"/>
    </row>
    <row r="90" spans="1:8" s="51" customFormat="1" ht="28.5" customHeight="1" x14ac:dyDescent="0.2">
      <c r="B90" s="78" t="s">
        <v>578</v>
      </c>
      <c r="C90" s="79">
        <v>1</v>
      </c>
      <c r="D90" s="108">
        <f>5000*1.04*1.05</f>
        <v>5460</v>
      </c>
      <c r="E90" s="109">
        <f>C90*D90</f>
        <v>5460</v>
      </c>
      <c r="F90" s="113"/>
    </row>
    <row r="91" spans="1:8" s="51" customFormat="1" ht="28.5" customHeight="1" x14ac:dyDescent="0.2">
      <c r="B91" s="79" t="s">
        <v>5</v>
      </c>
      <c r="C91" s="79"/>
      <c r="D91" s="108"/>
      <c r="E91" s="109">
        <f>SUM(E89:E90)</f>
        <v>14196</v>
      </c>
      <c r="F91" s="113"/>
    </row>
    <row r="92" spans="1:8" ht="28.5" customHeight="1" x14ac:dyDescent="0.2">
      <c r="A92" s="51"/>
      <c r="B92" s="51"/>
      <c r="C92" s="51"/>
      <c r="D92" s="51"/>
      <c r="E92" s="51"/>
      <c r="F92" s="51"/>
      <c r="G92" s="53"/>
      <c r="H92" s="51"/>
    </row>
    <row r="93" spans="1:8" s="58" customFormat="1" ht="28.5" customHeight="1" x14ac:dyDescent="0.25">
      <c r="A93" s="56" t="s">
        <v>11</v>
      </c>
      <c r="B93" s="226" t="s">
        <v>91</v>
      </c>
      <c r="C93" s="226"/>
      <c r="D93" s="226"/>
      <c r="E93" s="226"/>
      <c r="F93" s="226"/>
      <c r="G93" s="57">
        <f>G94+G101+G109+G110+G111</f>
        <v>147000</v>
      </c>
      <c r="H93" s="56"/>
    </row>
    <row r="94" spans="1:8" s="58" customFormat="1" ht="28.5" customHeight="1" x14ac:dyDescent="0.25">
      <c r="A94" s="59" t="s">
        <v>92</v>
      </c>
      <c r="B94" s="59" t="s">
        <v>26</v>
      </c>
      <c r="C94" s="59"/>
      <c r="D94" s="59"/>
      <c r="E94" s="59"/>
      <c r="F94" s="59"/>
      <c r="G94" s="60">
        <f>E99</f>
        <v>130000</v>
      </c>
      <c r="H94" s="59"/>
    </row>
    <row r="95" spans="1:8" s="58" customFormat="1" ht="15" customHeight="1" x14ac:dyDescent="0.25">
      <c r="A95" s="59"/>
      <c r="B95" s="59"/>
      <c r="C95" s="59"/>
      <c r="D95" s="59"/>
      <c r="E95" s="59"/>
      <c r="F95" s="59"/>
      <c r="G95" s="60"/>
      <c r="H95" s="59"/>
    </row>
    <row r="96" spans="1:8" ht="63.75" customHeight="1" x14ac:dyDescent="0.2">
      <c r="A96" s="51"/>
      <c r="B96" s="61" t="s">
        <v>360</v>
      </c>
      <c r="C96" s="62" t="s">
        <v>585</v>
      </c>
      <c r="D96" s="62" t="s">
        <v>354</v>
      </c>
      <c r="E96" s="67" t="s">
        <v>5</v>
      </c>
      <c r="F96" s="51"/>
      <c r="G96" s="52"/>
    </row>
    <row r="97" spans="1:8" ht="28.5" customHeight="1" x14ac:dyDescent="0.2">
      <c r="A97" s="51"/>
      <c r="B97" s="68" t="s">
        <v>253</v>
      </c>
      <c r="C97" s="123">
        <v>1</v>
      </c>
      <c r="D97" s="72">
        <v>65000</v>
      </c>
      <c r="E97" s="70">
        <f>C97*D97</f>
        <v>65000</v>
      </c>
      <c r="F97" s="73"/>
      <c r="G97" s="52"/>
    </row>
    <row r="98" spans="1:8" ht="28.5" customHeight="1" x14ac:dyDescent="0.2">
      <c r="A98" s="51"/>
      <c r="B98" s="68" t="s">
        <v>583</v>
      </c>
      <c r="C98" s="123">
        <v>1</v>
      </c>
      <c r="D98" s="72">
        <v>65000</v>
      </c>
      <c r="E98" s="70">
        <f>C98*D98</f>
        <v>65000</v>
      </c>
      <c r="F98" s="73"/>
      <c r="G98" s="52"/>
    </row>
    <row r="99" spans="1:8" ht="28.5" customHeight="1" x14ac:dyDescent="0.2">
      <c r="A99" s="51"/>
      <c r="B99" s="78" t="s">
        <v>4</v>
      </c>
      <c r="C99" s="124"/>
      <c r="D99" s="108"/>
      <c r="E99" s="80">
        <f>SUM(E97:E98)</f>
        <v>130000</v>
      </c>
      <c r="F99" s="51"/>
      <c r="G99" s="52"/>
    </row>
    <row r="100" spans="1:8" ht="28.5" customHeight="1" x14ac:dyDescent="0.2">
      <c r="A100" s="51"/>
      <c r="B100" s="125"/>
      <c r="C100" s="126"/>
      <c r="D100" s="126"/>
      <c r="E100" s="127"/>
      <c r="F100" s="128"/>
      <c r="G100" s="129"/>
      <c r="H100" s="51"/>
    </row>
    <row r="101" spans="1:8" s="58" customFormat="1" ht="28.5" customHeight="1" x14ac:dyDescent="0.25">
      <c r="A101" s="59" t="s">
        <v>93</v>
      </c>
      <c r="B101" s="230" t="s">
        <v>27</v>
      </c>
      <c r="C101" s="230"/>
      <c r="D101" s="230"/>
      <c r="E101" s="230"/>
      <c r="F101" s="230"/>
      <c r="G101" s="60">
        <f>E107</f>
        <v>17000</v>
      </c>
      <c r="H101" s="59"/>
    </row>
    <row r="102" spans="1:8" s="58" customFormat="1" ht="19.5" customHeight="1" x14ac:dyDescent="0.25">
      <c r="A102" s="59"/>
      <c r="B102" s="130"/>
      <c r="C102" s="130"/>
      <c r="D102" s="130"/>
      <c r="E102" s="130"/>
      <c r="F102" s="130"/>
      <c r="G102" s="60"/>
      <c r="H102" s="59"/>
    </row>
    <row r="103" spans="1:8" ht="58.5" customHeight="1" x14ac:dyDescent="0.2">
      <c r="A103" s="51"/>
      <c r="B103" s="61" t="s">
        <v>360</v>
      </c>
      <c r="C103" s="62" t="s">
        <v>585</v>
      </c>
      <c r="D103" s="62" t="s">
        <v>354</v>
      </c>
      <c r="E103" s="67" t="s">
        <v>5</v>
      </c>
      <c r="F103" s="51"/>
      <c r="G103" s="52"/>
    </row>
    <row r="104" spans="1:8" ht="28.5" customHeight="1" x14ac:dyDescent="0.2">
      <c r="A104" s="51"/>
      <c r="B104" s="68" t="s">
        <v>445</v>
      </c>
      <c r="C104" s="131">
        <v>1</v>
      </c>
      <c r="D104" s="72">
        <v>17000</v>
      </c>
      <c r="E104" s="72">
        <f>C104*D104</f>
        <v>17000</v>
      </c>
      <c r="F104" s="73"/>
      <c r="G104" s="52"/>
    </row>
    <row r="105" spans="1:8" s="51" customFormat="1" ht="28.5" customHeight="1" x14ac:dyDescent="0.2">
      <c r="B105" s="78" t="s">
        <v>579</v>
      </c>
      <c r="C105" s="132">
        <v>0</v>
      </c>
      <c r="D105" s="132">
        <v>40000</v>
      </c>
      <c r="E105" s="72">
        <f>C105*D105</f>
        <v>0</v>
      </c>
    </row>
    <row r="106" spans="1:8" s="51" customFormat="1" ht="28.5" customHeight="1" x14ac:dyDescent="0.2">
      <c r="B106" s="78" t="s">
        <v>586</v>
      </c>
      <c r="C106" s="132">
        <v>0</v>
      </c>
      <c r="D106" s="132">
        <f>200000*1.04</f>
        <v>208000</v>
      </c>
      <c r="E106" s="72">
        <f>C106*D106</f>
        <v>0</v>
      </c>
    </row>
    <row r="107" spans="1:8" ht="28.5" customHeight="1" x14ac:dyDescent="0.2">
      <c r="A107" s="51"/>
      <c r="B107" s="78" t="s">
        <v>4</v>
      </c>
      <c r="C107" s="133"/>
      <c r="D107" s="132"/>
      <c r="E107" s="132">
        <f>SUM(E104:E106)</f>
        <v>17000</v>
      </c>
      <c r="F107" s="51"/>
      <c r="G107" s="52"/>
    </row>
    <row r="108" spans="1:8" ht="28.5" customHeight="1" x14ac:dyDescent="0.2">
      <c r="A108" s="51"/>
      <c r="B108" s="99"/>
      <c r="C108" s="134"/>
      <c r="D108" s="134"/>
      <c r="E108" s="134"/>
      <c r="F108" s="135"/>
      <c r="G108" s="136"/>
      <c r="H108" s="51"/>
    </row>
    <row r="109" spans="1:8" s="58" customFormat="1" ht="28.5" customHeight="1" x14ac:dyDescent="0.25">
      <c r="A109" s="59" t="s">
        <v>94</v>
      </c>
      <c r="B109" s="230" t="s">
        <v>95</v>
      </c>
      <c r="C109" s="230"/>
      <c r="D109" s="230"/>
      <c r="E109" s="230"/>
      <c r="F109" s="230"/>
      <c r="G109" s="60">
        <v>0</v>
      </c>
      <c r="H109" s="59"/>
    </row>
    <row r="110" spans="1:8" s="58" customFormat="1" ht="28.5" customHeight="1" x14ac:dyDescent="0.25">
      <c r="A110" s="59" t="s">
        <v>96</v>
      </c>
      <c r="B110" s="241" t="s">
        <v>29</v>
      </c>
      <c r="C110" s="241"/>
      <c r="D110" s="59"/>
      <c r="E110" s="59"/>
      <c r="F110" s="59"/>
      <c r="G110" s="60">
        <v>0</v>
      </c>
      <c r="H110" s="59"/>
    </row>
    <row r="111" spans="1:8" s="58" customFormat="1" ht="28.5" customHeight="1" x14ac:dyDescent="0.25">
      <c r="A111" s="59" t="s">
        <v>98</v>
      </c>
      <c r="B111" s="230" t="s">
        <v>97</v>
      </c>
      <c r="C111" s="230"/>
      <c r="D111" s="230"/>
      <c r="E111" s="230"/>
      <c r="F111" s="230"/>
      <c r="G111" s="60">
        <v>0</v>
      </c>
      <c r="H111" s="59"/>
    </row>
    <row r="112" spans="1:8" s="58" customFormat="1" ht="28.5" customHeight="1" x14ac:dyDescent="0.25">
      <c r="A112" s="59"/>
      <c r="B112" s="130"/>
      <c r="C112" s="130"/>
      <c r="D112" s="130"/>
      <c r="E112" s="130"/>
      <c r="F112" s="130"/>
      <c r="G112" s="60"/>
      <c r="H112" s="59"/>
    </row>
    <row r="113" spans="1:8" s="58" customFormat="1" ht="28.5" customHeight="1" x14ac:dyDescent="0.25">
      <c r="A113" s="56" t="s">
        <v>99</v>
      </c>
      <c r="B113" s="226" t="s">
        <v>100</v>
      </c>
      <c r="C113" s="226"/>
      <c r="D113" s="226"/>
      <c r="E113" s="226"/>
      <c r="F113" s="226"/>
      <c r="G113" s="57">
        <f>G114+G119+G124+G163+G169+G210</f>
        <v>1001212.1</v>
      </c>
      <c r="H113" s="56"/>
    </row>
    <row r="114" spans="1:8" s="58" customFormat="1" ht="28.5" customHeight="1" x14ac:dyDescent="0.25">
      <c r="A114" s="59" t="s">
        <v>101</v>
      </c>
      <c r="B114" s="59" t="s">
        <v>30</v>
      </c>
      <c r="C114" s="59"/>
      <c r="D114" s="59"/>
      <c r="E114" s="59"/>
      <c r="F114" s="59"/>
      <c r="G114" s="60">
        <f>D118</f>
        <v>15000</v>
      </c>
      <c r="H114" s="59"/>
    </row>
    <row r="115" spans="1:8" s="58" customFormat="1" ht="49.5" customHeight="1" x14ac:dyDescent="0.25">
      <c r="A115" s="59"/>
      <c r="B115" s="246" t="s">
        <v>376</v>
      </c>
      <c r="C115" s="246"/>
      <c r="D115" s="246"/>
      <c r="E115" s="246"/>
      <c r="F115" s="246"/>
      <c r="G115" s="60"/>
      <c r="H115" s="59"/>
    </row>
    <row r="116" spans="1:8" s="58" customFormat="1" ht="28.5" customHeight="1" x14ac:dyDescent="0.2">
      <c r="A116" s="59"/>
      <c r="B116" s="137"/>
      <c r="C116" s="137"/>
      <c r="D116" s="137"/>
      <c r="E116" s="137"/>
      <c r="F116" s="137"/>
      <c r="G116" s="60"/>
      <c r="H116" s="59"/>
    </row>
    <row r="117" spans="1:8" ht="54.75" customHeight="1" x14ac:dyDescent="0.2">
      <c r="B117" s="91" t="s">
        <v>377</v>
      </c>
      <c r="C117" s="62" t="s">
        <v>378</v>
      </c>
      <c r="D117" s="92" t="s">
        <v>4</v>
      </c>
      <c r="G117" s="52"/>
    </row>
    <row r="118" spans="1:8" ht="28.5" customHeight="1" x14ac:dyDescent="0.2">
      <c r="B118" s="83">
        <v>1</v>
      </c>
      <c r="C118" s="65">
        <v>15000</v>
      </c>
      <c r="D118" s="84">
        <f>B118*C118</f>
        <v>15000</v>
      </c>
      <c r="E118" s="247"/>
      <c r="F118" s="248"/>
      <c r="G118" s="138"/>
    </row>
    <row r="119" spans="1:8" s="58" customFormat="1" ht="28.5" customHeight="1" x14ac:dyDescent="0.25">
      <c r="A119" s="59" t="s">
        <v>102</v>
      </c>
      <c r="B119" s="59" t="s">
        <v>31</v>
      </c>
      <c r="C119" s="59"/>
      <c r="D119" s="59"/>
      <c r="E119" s="59"/>
      <c r="F119" s="59"/>
      <c r="G119" s="60">
        <f>D123</f>
        <v>55000</v>
      </c>
      <c r="H119" s="59"/>
    </row>
    <row r="120" spans="1:8" s="58" customFormat="1" ht="42" customHeight="1" x14ac:dyDescent="0.25">
      <c r="A120" s="59"/>
      <c r="B120" s="246" t="s">
        <v>379</v>
      </c>
      <c r="C120" s="246"/>
      <c r="D120" s="246"/>
      <c r="E120" s="246"/>
      <c r="F120" s="246"/>
      <c r="G120" s="60"/>
      <c r="H120" s="59"/>
    </row>
    <row r="121" spans="1:8" s="58" customFormat="1" ht="18.75" customHeight="1" x14ac:dyDescent="0.2">
      <c r="A121" s="59"/>
      <c r="B121" s="137"/>
      <c r="C121" s="137"/>
      <c r="D121" s="137"/>
      <c r="E121" s="137"/>
      <c r="F121" s="137"/>
      <c r="G121" s="60"/>
      <c r="H121" s="59"/>
    </row>
    <row r="122" spans="1:8" ht="51.75" customHeight="1" x14ac:dyDescent="0.2">
      <c r="B122" s="91" t="s">
        <v>380</v>
      </c>
      <c r="C122" s="91" t="s">
        <v>378</v>
      </c>
      <c r="D122" s="92" t="s">
        <v>4</v>
      </c>
      <c r="G122" s="52"/>
    </row>
    <row r="123" spans="1:8" ht="28.5" customHeight="1" x14ac:dyDescent="0.2">
      <c r="B123" s="83">
        <v>1</v>
      </c>
      <c r="C123" s="65">
        <v>55000</v>
      </c>
      <c r="D123" s="84">
        <f>B123*C123</f>
        <v>55000</v>
      </c>
      <c r="E123" s="139"/>
      <c r="F123" s="138"/>
      <c r="G123" s="138"/>
    </row>
    <row r="124" spans="1:8" s="58" customFormat="1" ht="28.5" customHeight="1" x14ac:dyDescent="0.25">
      <c r="A124" s="59" t="s">
        <v>103</v>
      </c>
      <c r="B124" s="59" t="s">
        <v>32</v>
      </c>
      <c r="C124" s="59"/>
      <c r="D124" s="59"/>
      <c r="E124" s="59"/>
      <c r="F124" s="59"/>
      <c r="G124" s="60">
        <f>E162</f>
        <v>120120</v>
      </c>
      <c r="H124" s="59"/>
    </row>
    <row r="125" spans="1:8" s="51" customFormat="1" ht="47.25" customHeight="1" x14ac:dyDescent="0.2">
      <c r="B125" s="79"/>
      <c r="C125" s="78" t="s">
        <v>33</v>
      </c>
      <c r="D125" s="78" t="s">
        <v>34</v>
      </c>
      <c r="E125" s="79" t="s">
        <v>4</v>
      </c>
    </row>
    <row r="126" spans="1:8" s="51" customFormat="1" ht="28.5" customHeight="1" x14ac:dyDescent="0.2">
      <c r="B126" s="140" t="s">
        <v>381</v>
      </c>
      <c r="C126" s="79"/>
      <c r="D126" s="108"/>
      <c r="E126" s="108"/>
      <c r="F126" s="73"/>
      <c r="G126" s="111"/>
    </row>
    <row r="127" spans="1:8" s="51" customFormat="1" ht="28.5" customHeight="1" x14ac:dyDescent="0.2">
      <c r="B127" s="79" t="s">
        <v>382</v>
      </c>
      <c r="C127" s="79">
        <v>1</v>
      </c>
      <c r="D127" s="108">
        <f>3000*1.04*1.05</f>
        <v>3276</v>
      </c>
      <c r="E127" s="108">
        <f t="shared" ref="E127:E138" si="2">C127*D127</f>
        <v>3276</v>
      </c>
      <c r="F127" s="73"/>
      <c r="G127" s="111"/>
    </row>
    <row r="128" spans="1:8" s="51" customFormat="1" ht="28.5" customHeight="1" x14ac:dyDescent="0.2">
      <c r="B128" s="79" t="s">
        <v>580</v>
      </c>
      <c r="C128" s="79">
        <v>1</v>
      </c>
      <c r="D128" s="108">
        <f>1500*1.04*1.05</f>
        <v>1638</v>
      </c>
      <c r="E128" s="108">
        <f>C128*D128</f>
        <v>1638</v>
      </c>
      <c r="F128" s="73"/>
      <c r="G128" s="111"/>
    </row>
    <row r="129" spans="2:7" s="51" customFormat="1" ht="28.5" customHeight="1" x14ac:dyDescent="0.2">
      <c r="B129" s="79" t="s">
        <v>391</v>
      </c>
      <c r="C129" s="79">
        <v>1</v>
      </c>
      <c r="D129" s="108">
        <f>1500*1.04*1.05</f>
        <v>1638</v>
      </c>
      <c r="E129" s="108">
        <f>C129*D129</f>
        <v>1638</v>
      </c>
      <c r="F129" s="73"/>
      <c r="G129" s="111"/>
    </row>
    <row r="130" spans="2:7" s="51" customFormat="1" ht="28.5" customHeight="1" x14ac:dyDescent="0.2">
      <c r="B130" s="79" t="s">
        <v>383</v>
      </c>
      <c r="C130" s="79">
        <v>1</v>
      </c>
      <c r="D130" s="108">
        <f>15000*1.04*1.05</f>
        <v>16380</v>
      </c>
      <c r="E130" s="108">
        <f t="shared" si="2"/>
        <v>16380</v>
      </c>
      <c r="F130" s="73"/>
      <c r="G130" s="111"/>
    </row>
    <row r="131" spans="2:7" s="51" customFormat="1" ht="28.5" customHeight="1" x14ac:dyDescent="0.2">
      <c r="B131" s="79" t="s">
        <v>384</v>
      </c>
      <c r="C131" s="79">
        <v>1</v>
      </c>
      <c r="D131" s="108">
        <f>6500*1.04*1.05</f>
        <v>7098</v>
      </c>
      <c r="E131" s="108">
        <f t="shared" si="2"/>
        <v>7098</v>
      </c>
    </row>
    <row r="132" spans="2:7" s="51" customFormat="1" ht="28.5" customHeight="1" x14ac:dyDescent="0.2">
      <c r="B132" s="79" t="s">
        <v>385</v>
      </c>
      <c r="C132" s="79">
        <v>1</v>
      </c>
      <c r="D132" s="108">
        <f>6000*1.04*1.05</f>
        <v>6552</v>
      </c>
      <c r="E132" s="108">
        <f t="shared" si="2"/>
        <v>6552</v>
      </c>
      <c r="F132" s="73"/>
      <c r="G132" s="111"/>
    </row>
    <row r="133" spans="2:7" s="51" customFormat="1" ht="28.5" customHeight="1" x14ac:dyDescent="0.2">
      <c r="B133" s="79" t="s">
        <v>386</v>
      </c>
      <c r="C133" s="79">
        <v>1</v>
      </c>
      <c r="D133" s="108">
        <f>6500*1.04*1.05</f>
        <v>7098</v>
      </c>
      <c r="E133" s="108">
        <f t="shared" si="2"/>
        <v>7098</v>
      </c>
      <c r="F133" s="73"/>
      <c r="G133" s="111"/>
    </row>
    <row r="134" spans="2:7" s="51" customFormat="1" ht="28.5" customHeight="1" x14ac:dyDescent="0.2">
      <c r="B134" s="79" t="s">
        <v>581</v>
      </c>
      <c r="C134" s="79">
        <v>0</v>
      </c>
      <c r="D134" s="108">
        <f>15000*1.04*1.05</f>
        <v>16380</v>
      </c>
      <c r="E134" s="108">
        <f t="shared" si="2"/>
        <v>0</v>
      </c>
      <c r="F134" s="73"/>
      <c r="G134" s="111"/>
    </row>
    <row r="135" spans="2:7" s="51" customFormat="1" ht="28.5" customHeight="1" x14ac:dyDescent="0.2">
      <c r="B135" s="79" t="s">
        <v>387</v>
      </c>
      <c r="C135" s="79">
        <v>1</v>
      </c>
      <c r="D135" s="108">
        <f>6500*1.04*1.05</f>
        <v>7098</v>
      </c>
      <c r="E135" s="108">
        <f t="shared" si="2"/>
        <v>7098</v>
      </c>
    </row>
    <row r="136" spans="2:7" s="51" customFormat="1" ht="28.5" customHeight="1" x14ac:dyDescent="0.2">
      <c r="B136" s="79" t="s">
        <v>388</v>
      </c>
      <c r="C136" s="79">
        <v>1</v>
      </c>
      <c r="D136" s="108">
        <f>4000*1.04*1.05</f>
        <v>4368</v>
      </c>
      <c r="E136" s="108">
        <f t="shared" si="2"/>
        <v>4368</v>
      </c>
      <c r="F136" s="73"/>
      <c r="G136" s="111"/>
    </row>
    <row r="137" spans="2:7" s="51" customFormat="1" ht="28.5" customHeight="1" x14ac:dyDescent="0.2">
      <c r="B137" s="79" t="s">
        <v>389</v>
      </c>
      <c r="C137" s="79">
        <v>1</v>
      </c>
      <c r="D137" s="108">
        <f>1000*1.04*1.05</f>
        <v>1092</v>
      </c>
      <c r="E137" s="108">
        <f t="shared" si="2"/>
        <v>1092</v>
      </c>
      <c r="F137" s="73"/>
      <c r="G137" s="111"/>
    </row>
    <row r="138" spans="2:7" s="51" customFormat="1" ht="28.5" customHeight="1" x14ac:dyDescent="0.2">
      <c r="B138" s="79" t="s">
        <v>582</v>
      </c>
      <c r="C138" s="79">
        <v>1</v>
      </c>
      <c r="D138" s="108">
        <f>3000*1.04*1.05</f>
        <v>3276</v>
      </c>
      <c r="E138" s="108">
        <f t="shared" si="2"/>
        <v>3276</v>
      </c>
      <c r="F138" s="73"/>
      <c r="G138" s="111"/>
    </row>
    <row r="139" spans="2:7" s="51" customFormat="1" ht="28.5" customHeight="1" x14ac:dyDescent="0.2">
      <c r="B139" s="140" t="s">
        <v>583</v>
      </c>
      <c r="C139" s="79"/>
      <c r="D139" s="108"/>
      <c r="E139" s="108"/>
      <c r="F139" s="73"/>
      <c r="G139" s="111"/>
    </row>
    <row r="140" spans="2:7" s="51" customFormat="1" ht="28.5" customHeight="1" x14ac:dyDescent="0.2">
      <c r="B140" s="79" t="s">
        <v>382</v>
      </c>
      <c r="C140" s="79">
        <v>0</v>
      </c>
      <c r="D140" s="108">
        <f>3000*1.04*1.05</f>
        <v>3276</v>
      </c>
      <c r="E140" s="108">
        <f t="shared" ref="E140:E148" si="3">C140*D140</f>
        <v>0</v>
      </c>
      <c r="F140" s="73"/>
      <c r="G140" s="111"/>
    </row>
    <row r="141" spans="2:7" s="51" customFormat="1" ht="28.5" customHeight="1" x14ac:dyDescent="0.2">
      <c r="B141" s="79" t="s">
        <v>383</v>
      </c>
      <c r="C141" s="79">
        <v>0</v>
      </c>
      <c r="D141" s="108">
        <f>15000*1.04*1.05</f>
        <v>16380</v>
      </c>
      <c r="E141" s="108">
        <f t="shared" si="3"/>
        <v>0</v>
      </c>
      <c r="F141" s="73"/>
      <c r="G141" s="111"/>
    </row>
    <row r="142" spans="2:7" s="51" customFormat="1" ht="28.5" customHeight="1" x14ac:dyDescent="0.2">
      <c r="B142" s="79" t="s">
        <v>384</v>
      </c>
      <c r="C142" s="79">
        <v>0</v>
      </c>
      <c r="D142" s="108">
        <f>6500*1.04*1.05</f>
        <v>7098</v>
      </c>
      <c r="E142" s="108">
        <f t="shared" si="3"/>
        <v>0</v>
      </c>
    </row>
    <row r="143" spans="2:7" s="51" customFormat="1" ht="28.5" customHeight="1" x14ac:dyDescent="0.2">
      <c r="B143" s="79" t="s">
        <v>385</v>
      </c>
      <c r="C143" s="79">
        <v>0</v>
      </c>
      <c r="D143" s="108">
        <f>6000*1.04*1.05</f>
        <v>6552</v>
      </c>
      <c r="E143" s="108">
        <f t="shared" si="3"/>
        <v>0</v>
      </c>
      <c r="F143" s="73"/>
      <c r="G143" s="111"/>
    </row>
    <row r="144" spans="2:7" s="51" customFormat="1" ht="28.5" customHeight="1" x14ac:dyDescent="0.2">
      <c r="B144" s="79" t="s">
        <v>386</v>
      </c>
      <c r="C144" s="79">
        <v>0</v>
      </c>
      <c r="D144" s="108">
        <f>6500*1.04*1.05</f>
        <v>7098</v>
      </c>
      <c r="E144" s="108">
        <f t="shared" si="3"/>
        <v>0</v>
      </c>
      <c r="F144" s="73"/>
      <c r="G144" s="111"/>
    </row>
    <row r="145" spans="2:7" s="51" customFormat="1" ht="28.5" customHeight="1" x14ac:dyDescent="0.2">
      <c r="B145" s="79" t="s">
        <v>387</v>
      </c>
      <c r="C145" s="79">
        <v>0</v>
      </c>
      <c r="D145" s="108">
        <f>6500*1.04*1.05</f>
        <v>7098</v>
      </c>
      <c r="E145" s="108">
        <f t="shared" si="3"/>
        <v>0</v>
      </c>
    </row>
    <row r="146" spans="2:7" s="51" customFormat="1" ht="28.5" customHeight="1" x14ac:dyDescent="0.2">
      <c r="B146" s="79" t="s">
        <v>388</v>
      </c>
      <c r="C146" s="79">
        <v>0</v>
      </c>
      <c r="D146" s="108">
        <f>4000*1.04*1.05</f>
        <v>4368</v>
      </c>
      <c r="E146" s="108">
        <f t="shared" si="3"/>
        <v>0</v>
      </c>
      <c r="F146" s="73"/>
      <c r="G146" s="111"/>
    </row>
    <row r="147" spans="2:7" s="51" customFormat="1" ht="28.5" customHeight="1" x14ac:dyDescent="0.2">
      <c r="B147" s="79" t="s">
        <v>389</v>
      </c>
      <c r="C147" s="79">
        <v>0</v>
      </c>
      <c r="D147" s="108">
        <f>3000*1.04*1.05</f>
        <v>3276</v>
      </c>
      <c r="E147" s="108">
        <f t="shared" si="3"/>
        <v>0</v>
      </c>
      <c r="F147" s="73"/>
      <c r="G147" s="111"/>
    </row>
    <row r="148" spans="2:7" s="51" customFormat="1" ht="28.5" customHeight="1" x14ac:dyDescent="0.2">
      <c r="B148" s="79" t="s">
        <v>390</v>
      </c>
      <c r="C148" s="79">
        <v>0</v>
      </c>
      <c r="D148" s="108">
        <f>8000*1.04*1.05</f>
        <v>8736</v>
      </c>
      <c r="E148" s="108">
        <f t="shared" si="3"/>
        <v>0</v>
      </c>
      <c r="F148" s="73"/>
      <c r="G148" s="111"/>
    </row>
    <row r="149" spans="2:7" s="51" customFormat="1" ht="28.5" customHeight="1" x14ac:dyDescent="0.2">
      <c r="B149" s="140" t="s">
        <v>253</v>
      </c>
      <c r="C149" s="79"/>
      <c r="D149" s="108"/>
      <c r="E149" s="108"/>
      <c r="F149" s="73"/>
      <c r="G149" s="111"/>
    </row>
    <row r="150" spans="2:7" s="51" customFormat="1" ht="28.5" customHeight="1" x14ac:dyDescent="0.2">
      <c r="B150" s="79" t="s">
        <v>391</v>
      </c>
      <c r="C150" s="79">
        <v>1</v>
      </c>
      <c r="D150" s="108">
        <f>2500*1.04*1.05</f>
        <v>2730</v>
      </c>
      <c r="E150" s="108">
        <f t="shared" ref="E150:E161" si="4">C150*D150</f>
        <v>2730</v>
      </c>
      <c r="F150" s="73"/>
      <c r="G150" s="111"/>
    </row>
    <row r="151" spans="2:7" s="51" customFormat="1" ht="28.5" customHeight="1" x14ac:dyDescent="0.2">
      <c r="B151" s="79" t="s">
        <v>383</v>
      </c>
      <c r="C151" s="79">
        <v>1</v>
      </c>
      <c r="D151" s="108">
        <f>10000*1.04*1.05</f>
        <v>10920</v>
      </c>
      <c r="E151" s="108">
        <f t="shared" si="4"/>
        <v>10920</v>
      </c>
      <c r="F151" s="73"/>
      <c r="G151" s="111"/>
    </row>
    <row r="152" spans="2:7" s="51" customFormat="1" ht="28.5" customHeight="1" x14ac:dyDescent="0.2">
      <c r="B152" s="79" t="s">
        <v>384</v>
      </c>
      <c r="C152" s="79">
        <v>1</v>
      </c>
      <c r="D152" s="108">
        <f>7000*1.04*1.05</f>
        <v>7644</v>
      </c>
      <c r="E152" s="108">
        <f t="shared" si="4"/>
        <v>7644</v>
      </c>
    </row>
    <row r="153" spans="2:7" s="51" customFormat="1" ht="28.5" customHeight="1" x14ac:dyDescent="0.2">
      <c r="B153" s="79" t="s">
        <v>385</v>
      </c>
      <c r="C153" s="79">
        <v>1</v>
      </c>
      <c r="D153" s="108">
        <f>6000*1.04*1.05</f>
        <v>6552</v>
      </c>
      <c r="E153" s="108">
        <f t="shared" si="4"/>
        <v>6552</v>
      </c>
      <c r="F153" s="73"/>
      <c r="G153" s="111"/>
    </row>
    <row r="154" spans="2:7" s="51" customFormat="1" ht="28.5" customHeight="1" x14ac:dyDescent="0.2">
      <c r="B154" s="79" t="s">
        <v>386</v>
      </c>
      <c r="C154" s="79">
        <v>1</v>
      </c>
      <c r="D154" s="108">
        <f>6500*1.04*1.05</f>
        <v>7098</v>
      </c>
      <c r="E154" s="108">
        <f t="shared" si="4"/>
        <v>7098</v>
      </c>
      <c r="F154" s="73"/>
      <c r="G154" s="111"/>
    </row>
    <row r="155" spans="2:7" s="51" customFormat="1" ht="28.5" customHeight="1" x14ac:dyDescent="0.2">
      <c r="B155" s="79" t="s">
        <v>387</v>
      </c>
      <c r="C155" s="79">
        <v>1</v>
      </c>
      <c r="D155" s="108">
        <f>6500*1.04*1.05</f>
        <v>7098</v>
      </c>
      <c r="E155" s="108">
        <f t="shared" si="4"/>
        <v>7098</v>
      </c>
    </row>
    <row r="156" spans="2:7" s="51" customFormat="1" ht="28.5" customHeight="1" x14ac:dyDescent="0.2">
      <c r="B156" s="79" t="s">
        <v>388</v>
      </c>
      <c r="C156" s="79">
        <v>1</v>
      </c>
      <c r="D156" s="108">
        <f>2000*1.04*1.05</f>
        <v>2184</v>
      </c>
      <c r="E156" s="108">
        <f t="shared" si="4"/>
        <v>2184</v>
      </c>
      <c r="F156" s="73"/>
      <c r="G156" s="111"/>
    </row>
    <row r="157" spans="2:7" s="51" customFormat="1" ht="28.5" customHeight="1" x14ac:dyDescent="0.2">
      <c r="B157" s="79" t="s">
        <v>390</v>
      </c>
      <c r="C157" s="79">
        <v>1</v>
      </c>
      <c r="D157" s="108">
        <f>4000*1.04*1.05</f>
        <v>4368</v>
      </c>
      <c r="E157" s="108">
        <f t="shared" si="4"/>
        <v>4368</v>
      </c>
      <c r="F157" s="73"/>
      <c r="G157" s="111"/>
    </row>
    <row r="158" spans="2:7" s="51" customFormat="1" ht="28.5" customHeight="1" x14ac:dyDescent="0.2">
      <c r="B158" s="79" t="s">
        <v>394</v>
      </c>
      <c r="C158" s="79">
        <v>1</v>
      </c>
      <c r="D158" s="108">
        <f>2000*1.04*1.05</f>
        <v>2184</v>
      </c>
      <c r="E158" s="108">
        <f t="shared" si="4"/>
        <v>2184</v>
      </c>
      <c r="F158" s="73"/>
      <c r="G158" s="111"/>
    </row>
    <row r="159" spans="2:7" s="51" customFormat="1" ht="28.5" customHeight="1" x14ac:dyDescent="0.2">
      <c r="B159" s="79" t="s">
        <v>392</v>
      </c>
      <c r="C159" s="79">
        <v>1</v>
      </c>
      <c r="D159" s="108">
        <f>5000*1.04*1.05</f>
        <v>5460</v>
      </c>
      <c r="E159" s="108">
        <f t="shared" si="4"/>
        <v>5460</v>
      </c>
      <c r="F159" s="73"/>
      <c r="G159" s="111"/>
    </row>
    <row r="160" spans="2:7" s="51" customFormat="1" ht="28.5" customHeight="1" x14ac:dyDescent="0.2">
      <c r="B160" s="79" t="s">
        <v>584</v>
      </c>
      <c r="C160" s="79">
        <v>1</v>
      </c>
      <c r="D160" s="108">
        <f>2000*1.04*1.05</f>
        <v>2184</v>
      </c>
      <c r="E160" s="108">
        <f t="shared" si="4"/>
        <v>2184</v>
      </c>
      <c r="F160" s="73"/>
      <c r="G160" s="111"/>
    </row>
    <row r="161" spans="1:8" s="51" customFormat="1" ht="28.5" customHeight="1" x14ac:dyDescent="0.2">
      <c r="B161" s="79" t="s">
        <v>393</v>
      </c>
      <c r="C161" s="79">
        <v>2</v>
      </c>
      <c r="D161" s="108">
        <f>1000*1.04*1.05</f>
        <v>1092</v>
      </c>
      <c r="E161" s="108">
        <f t="shared" si="4"/>
        <v>2184</v>
      </c>
      <c r="F161" s="73"/>
      <c r="G161" s="111"/>
    </row>
    <row r="162" spans="1:8" s="51" customFormat="1" ht="28.5" customHeight="1" x14ac:dyDescent="0.2">
      <c r="B162" s="79" t="s">
        <v>5</v>
      </c>
      <c r="C162" s="79"/>
      <c r="D162" s="79"/>
      <c r="E162" s="109">
        <f>SUM(E126:E161)</f>
        <v>120120</v>
      </c>
      <c r="H162" s="111"/>
    </row>
    <row r="163" spans="1:8" s="58" customFormat="1" ht="28.5" customHeight="1" x14ac:dyDescent="0.25">
      <c r="A163" s="59" t="s">
        <v>104</v>
      </c>
      <c r="B163" s="59" t="s">
        <v>35</v>
      </c>
      <c r="C163" s="59"/>
      <c r="D163" s="59"/>
      <c r="E163" s="59"/>
      <c r="F163" s="59"/>
      <c r="G163" s="60">
        <f>E167</f>
        <v>939.12000000000012</v>
      </c>
      <c r="H163" s="59"/>
    </row>
    <row r="164" spans="1:8" ht="52.5" customHeight="1" x14ac:dyDescent="0.2">
      <c r="A164" s="51"/>
      <c r="B164" s="61" t="s">
        <v>361</v>
      </c>
      <c r="C164" s="62" t="s">
        <v>33</v>
      </c>
      <c r="D164" s="62" t="s">
        <v>34</v>
      </c>
      <c r="E164" s="61" t="s">
        <v>4</v>
      </c>
      <c r="F164" s="51"/>
      <c r="G164" s="53"/>
      <c r="H164" s="51"/>
    </row>
    <row r="165" spans="1:8" ht="28.5" customHeight="1" x14ac:dyDescent="0.2">
      <c r="A165" s="51"/>
      <c r="B165" s="64" t="s">
        <v>443</v>
      </c>
      <c r="C165" s="83">
        <v>1</v>
      </c>
      <c r="D165" s="65">
        <f>800*1.04*1.05*1.05</f>
        <v>917.28000000000009</v>
      </c>
      <c r="E165" s="65">
        <f>C165*D165</f>
        <v>917.28000000000009</v>
      </c>
      <c r="F165" s="113"/>
      <c r="G165" s="141"/>
      <c r="H165" s="51"/>
    </row>
    <row r="166" spans="1:8" ht="28.5" customHeight="1" x14ac:dyDescent="0.2">
      <c r="A166" s="51"/>
      <c r="B166" s="64" t="s">
        <v>444</v>
      </c>
      <c r="C166" s="83">
        <v>1</v>
      </c>
      <c r="D166" s="65">
        <f>20*1.04*1.05</f>
        <v>21.840000000000003</v>
      </c>
      <c r="E166" s="65">
        <f>C166*D166</f>
        <v>21.840000000000003</v>
      </c>
      <c r="F166" s="113"/>
      <c r="G166" s="141"/>
      <c r="H166" s="51"/>
    </row>
    <row r="167" spans="1:8" ht="28.5" customHeight="1" x14ac:dyDescent="0.2">
      <c r="A167" s="51"/>
      <c r="B167" s="79" t="s">
        <v>5</v>
      </c>
      <c r="C167" s="79"/>
      <c r="D167" s="79"/>
      <c r="E167" s="109">
        <f>SUM(E165:E166)</f>
        <v>939.12000000000012</v>
      </c>
      <c r="F167" s="51"/>
      <c r="G167" s="53"/>
      <c r="H167" s="51"/>
    </row>
    <row r="168" spans="1:8" ht="28.5" customHeight="1" x14ac:dyDescent="0.2">
      <c r="A168" s="51"/>
      <c r="B168" s="51"/>
      <c r="C168" s="51"/>
      <c r="D168" s="51"/>
      <c r="E168" s="51"/>
      <c r="F168" s="51"/>
      <c r="G168" s="53"/>
      <c r="H168" s="51"/>
    </row>
    <row r="169" spans="1:8" s="58" customFormat="1" ht="28.5" customHeight="1" x14ac:dyDescent="0.25">
      <c r="A169" s="59" t="s">
        <v>105</v>
      </c>
      <c r="B169" s="230" t="s">
        <v>36</v>
      </c>
      <c r="C169" s="230"/>
      <c r="D169" s="230"/>
      <c r="E169" s="230"/>
      <c r="F169" s="130"/>
      <c r="G169" s="120">
        <f>G174+G201</f>
        <v>810152.98</v>
      </c>
      <c r="H169" s="59"/>
    </row>
    <row r="170" spans="1:8" ht="28.5" customHeight="1" x14ac:dyDescent="0.2">
      <c r="A170" s="51"/>
      <c r="B170" s="51"/>
      <c r="C170" s="51"/>
      <c r="D170" s="51"/>
      <c r="E170" s="51"/>
      <c r="F170" s="51"/>
      <c r="G170" s="53"/>
      <c r="H170" s="51"/>
    </row>
    <row r="171" spans="1:8" ht="120.75" customHeight="1" x14ac:dyDescent="0.2">
      <c r="A171" s="51"/>
      <c r="B171" s="62" t="s">
        <v>37</v>
      </c>
      <c r="C171" s="62" t="s">
        <v>38</v>
      </c>
      <c r="D171" s="61" t="s">
        <v>4</v>
      </c>
      <c r="E171" s="51"/>
      <c r="F171" s="51"/>
      <c r="G171" s="53"/>
      <c r="H171" s="51"/>
    </row>
    <row r="172" spans="1:8" ht="28.5" customHeight="1" x14ac:dyDescent="0.2">
      <c r="A172" s="51"/>
      <c r="B172" s="107">
        <f>G174</f>
        <v>714602.98</v>
      </c>
      <c r="C172" s="108">
        <f>G201</f>
        <v>95550</v>
      </c>
      <c r="D172" s="109">
        <f>SUM(B172:C172)</f>
        <v>810152.98</v>
      </c>
      <c r="E172" s="51"/>
      <c r="F172" s="51"/>
      <c r="G172" s="53"/>
      <c r="H172" s="51"/>
    </row>
    <row r="173" spans="1:8" ht="18.75" customHeight="1" x14ac:dyDescent="0.2">
      <c r="A173" s="51"/>
      <c r="B173" s="88"/>
      <c r="C173" s="51"/>
      <c r="D173" s="54"/>
      <c r="E173" s="51"/>
      <c r="F173" s="51"/>
      <c r="G173" s="53"/>
      <c r="H173" s="73"/>
    </row>
    <row r="174" spans="1:8" s="58" customFormat="1" ht="28.5" customHeight="1" x14ac:dyDescent="0.25">
      <c r="A174" s="59" t="s">
        <v>106</v>
      </c>
      <c r="B174" s="230" t="s">
        <v>37</v>
      </c>
      <c r="C174" s="230"/>
      <c r="D174" s="230"/>
      <c r="E174" s="230"/>
      <c r="F174" s="230"/>
      <c r="G174" s="120">
        <f>F181+F199</f>
        <v>714602.98</v>
      </c>
      <c r="H174" s="59"/>
    </row>
    <row r="175" spans="1:8" ht="15" customHeight="1" x14ac:dyDescent="0.2">
      <c r="A175" s="51"/>
      <c r="B175" s="51"/>
      <c r="C175" s="51"/>
      <c r="D175" s="51"/>
      <c r="E175" s="51"/>
      <c r="F175" s="51"/>
      <c r="G175" s="53"/>
      <c r="H175" s="51"/>
    </row>
    <row r="176" spans="1:8" ht="99" customHeight="1" x14ac:dyDescent="0.2">
      <c r="A176" s="51"/>
      <c r="B176" s="61" t="s">
        <v>360</v>
      </c>
      <c r="C176" s="62" t="s">
        <v>39</v>
      </c>
      <c r="D176" s="62" t="s">
        <v>40</v>
      </c>
      <c r="E176" s="62" t="s">
        <v>28</v>
      </c>
      <c r="F176" s="61" t="s">
        <v>5</v>
      </c>
      <c r="G176" s="67" t="s">
        <v>472</v>
      </c>
      <c r="H176" s="51"/>
    </row>
    <row r="177" spans="1:11" ht="28.5" customHeight="1" x14ac:dyDescent="0.2">
      <c r="A177" s="51"/>
      <c r="B177" s="74" t="s">
        <v>364</v>
      </c>
      <c r="C177" s="97">
        <v>1</v>
      </c>
      <c r="D177" s="97">
        <v>4</v>
      </c>
      <c r="E177" s="76">
        <f>4900*1.04*1.05*1.05</f>
        <v>5618.34</v>
      </c>
      <c r="F177" s="76">
        <f>C177*D177*E177</f>
        <v>22473.360000000001</v>
      </c>
      <c r="G177" s="142" t="s">
        <v>473</v>
      </c>
      <c r="H177" s="51"/>
    </row>
    <row r="178" spans="1:11" ht="28.5" customHeight="1" x14ac:dyDescent="0.2">
      <c r="A178" s="51"/>
      <c r="B178" s="74" t="s">
        <v>446</v>
      </c>
      <c r="C178" s="97">
        <v>1</v>
      </c>
      <c r="D178" s="97">
        <v>4</v>
      </c>
      <c r="E178" s="76">
        <f>4900*1.04*1.05*1.05</f>
        <v>5618.34</v>
      </c>
      <c r="F178" s="76">
        <f t="shared" ref="F178:F180" si="5">C178*D178*E178</f>
        <v>22473.360000000001</v>
      </c>
      <c r="G178" s="67" t="s">
        <v>473</v>
      </c>
      <c r="H178" s="51"/>
    </row>
    <row r="179" spans="1:11" ht="28.5" customHeight="1" x14ac:dyDescent="0.2">
      <c r="A179" s="51"/>
      <c r="B179" s="74" t="s">
        <v>447</v>
      </c>
      <c r="C179" s="97">
        <v>1</v>
      </c>
      <c r="D179" s="97">
        <v>6</v>
      </c>
      <c r="E179" s="76">
        <f>1200*1.04*1.05*1.05</f>
        <v>1375.92</v>
      </c>
      <c r="F179" s="76">
        <f t="shared" si="5"/>
        <v>8255.52</v>
      </c>
      <c r="G179" s="67" t="s">
        <v>473</v>
      </c>
      <c r="H179" s="51"/>
      <c r="K179" s="98" t="s">
        <v>566</v>
      </c>
    </row>
    <row r="180" spans="1:11" ht="28.5" customHeight="1" x14ac:dyDescent="0.2">
      <c r="A180" s="51"/>
      <c r="B180" s="143" t="s">
        <v>764</v>
      </c>
      <c r="C180" s="97">
        <v>1</v>
      </c>
      <c r="D180" s="97">
        <v>7</v>
      </c>
      <c r="E180" s="76">
        <f>8700*1.04*1.05*1.05</f>
        <v>9975.42</v>
      </c>
      <c r="F180" s="76">
        <f t="shared" si="5"/>
        <v>69827.94</v>
      </c>
      <c r="G180" s="67" t="s">
        <v>473</v>
      </c>
      <c r="H180" s="51"/>
    </row>
    <row r="181" spans="1:11" ht="28.5" customHeight="1" x14ac:dyDescent="0.2">
      <c r="A181" s="51"/>
      <c r="B181" s="63" t="s">
        <v>5</v>
      </c>
      <c r="C181" s="64"/>
      <c r="D181" s="64"/>
      <c r="E181" s="64"/>
      <c r="F181" s="65">
        <f>SUM(F177:F180)</f>
        <v>123030.18000000001</v>
      </c>
      <c r="G181" s="144"/>
      <c r="H181" s="51"/>
    </row>
    <row r="182" spans="1:11" ht="28.5" customHeight="1" x14ac:dyDescent="0.2">
      <c r="A182" s="51"/>
      <c r="B182" s="51"/>
      <c r="C182" s="51"/>
      <c r="D182" s="51"/>
      <c r="E182" s="51"/>
      <c r="F182" s="51"/>
      <c r="G182" s="53"/>
      <c r="H182" s="51"/>
    </row>
    <row r="183" spans="1:11" ht="103.5" customHeight="1" x14ac:dyDescent="0.2">
      <c r="A183" s="102"/>
      <c r="B183" s="63" t="s">
        <v>569</v>
      </c>
      <c r="C183" s="63" t="s">
        <v>587</v>
      </c>
      <c r="D183" s="63" t="s">
        <v>588</v>
      </c>
      <c r="E183" s="145" t="s">
        <v>746</v>
      </c>
      <c r="F183" s="63" t="s">
        <v>570</v>
      </c>
      <c r="G183" s="102"/>
      <c r="H183" s="102"/>
    </row>
    <row r="184" spans="1:11" ht="28.5" customHeight="1" x14ac:dyDescent="0.2">
      <c r="A184" s="102"/>
      <c r="B184" s="146" t="s">
        <v>589</v>
      </c>
      <c r="C184" s="63"/>
      <c r="D184" s="63"/>
      <c r="E184" s="145"/>
      <c r="F184" s="63"/>
      <c r="G184" s="147"/>
      <c r="H184" s="102"/>
    </row>
    <row r="185" spans="1:11" ht="28.5" customHeight="1" x14ac:dyDescent="0.2">
      <c r="A185" s="102"/>
      <c r="B185" s="148" t="s">
        <v>590</v>
      </c>
      <c r="C185" s="243">
        <v>1</v>
      </c>
      <c r="D185" s="149"/>
      <c r="E185" s="64"/>
      <c r="F185" s="64"/>
      <c r="G185" s="147"/>
      <c r="H185" s="102"/>
    </row>
    <row r="186" spans="1:11" ht="28.5" customHeight="1" x14ac:dyDescent="0.2">
      <c r="A186" s="102"/>
      <c r="B186" s="63" t="s">
        <v>591</v>
      </c>
      <c r="C186" s="244"/>
      <c r="D186" s="149">
        <v>3</v>
      </c>
      <c r="E186" s="150">
        <f>25000*1.04*1.05</f>
        <v>27300</v>
      </c>
      <c r="F186" s="151">
        <f>D186*E186</f>
        <v>81900</v>
      </c>
      <c r="G186" s="102"/>
      <c r="H186" s="102"/>
    </row>
    <row r="187" spans="1:11" ht="28.5" customHeight="1" x14ac:dyDescent="0.2">
      <c r="A187" s="102"/>
      <c r="B187" s="152" t="s">
        <v>592</v>
      </c>
      <c r="C187" s="244"/>
      <c r="D187" s="149">
        <v>7</v>
      </c>
      <c r="E187" s="150">
        <f>7500*1.04*1.05</f>
        <v>8190</v>
      </c>
      <c r="F187" s="151">
        <v>28000</v>
      </c>
      <c r="G187" s="102"/>
      <c r="H187" s="102"/>
    </row>
    <row r="188" spans="1:11" ht="28.5" customHeight="1" x14ac:dyDescent="0.2">
      <c r="A188" s="102"/>
      <c r="B188" s="152" t="s">
        <v>593</v>
      </c>
      <c r="C188" s="244"/>
      <c r="D188" s="149">
        <v>7</v>
      </c>
      <c r="E188" s="150">
        <f>32000*1.04*1.05</f>
        <v>34944</v>
      </c>
      <c r="F188" s="151">
        <v>192000</v>
      </c>
      <c r="G188" s="102"/>
      <c r="H188" s="102"/>
    </row>
    <row r="189" spans="1:11" ht="28.5" customHeight="1" x14ac:dyDescent="0.2">
      <c r="A189" s="102"/>
      <c r="B189" s="152" t="s">
        <v>594</v>
      </c>
      <c r="C189" s="244"/>
      <c r="D189" s="149">
        <v>5</v>
      </c>
      <c r="E189" s="150">
        <f>5300*1.04*1.05</f>
        <v>5787.6</v>
      </c>
      <c r="F189" s="151">
        <f>D189*E189</f>
        <v>28938</v>
      </c>
      <c r="G189" s="102"/>
      <c r="H189" s="102"/>
    </row>
    <row r="190" spans="1:11" ht="28.5" customHeight="1" x14ac:dyDescent="0.2">
      <c r="A190" s="102"/>
      <c r="B190" s="152" t="s">
        <v>595</v>
      </c>
      <c r="C190" s="245"/>
      <c r="D190" s="149">
        <v>15</v>
      </c>
      <c r="E190" s="150">
        <f>12000*1.04*1.05</f>
        <v>13104</v>
      </c>
      <c r="F190" s="151">
        <f>D190*E190</f>
        <v>196560</v>
      </c>
      <c r="G190" s="102"/>
      <c r="H190" s="102"/>
    </row>
    <row r="191" spans="1:11" ht="28.5" customHeight="1" x14ac:dyDescent="0.2">
      <c r="A191" s="102"/>
      <c r="B191" s="63" t="s">
        <v>596</v>
      </c>
      <c r="C191" s="153" t="s">
        <v>597</v>
      </c>
      <c r="D191" s="153"/>
      <c r="E191" s="154"/>
      <c r="F191" s="151"/>
      <c r="G191" s="102"/>
      <c r="H191" s="102"/>
    </row>
    <row r="192" spans="1:11" ht="28.5" customHeight="1" x14ac:dyDescent="0.2">
      <c r="A192" s="102"/>
      <c r="B192" s="63" t="s">
        <v>598</v>
      </c>
      <c r="C192" s="155"/>
      <c r="D192" s="153">
        <v>1</v>
      </c>
      <c r="E192" s="154">
        <f>2700*1.04*1.05</f>
        <v>2948.4</v>
      </c>
      <c r="F192" s="65">
        <f>D192*E192</f>
        <v>2948.4</v>
      </c>
      <c r="G192" s="102"/>
      <c r="H192" s="102"/>
    </row>
    <row r="193" spans="1:8" ht="28.5" customHeight="1" x14ac:dyDescent="0.2">
      <c r="A193" s="102"/>
      <c r="B193" s="63" t="s">
        <v>599</v>
      </c>
      <c r="C193" s="155"/>
      <c r="D193" s="153">
        <v>1</v>
      </c>
      <c r="E193" s="154">
        <f>7800*1.04*1.05</f>
        <v>8517.6</v>
      </c>
      <c r="F193" s="151">
        <v>7500</v>
      </c>
      <c r="G193" s="102"/>
      <c r="H193" s="102"/>
    </row>
    <row r="194" spans="1:8" ht="28.5" customHeight="1" x14ac:dyDescent="0.2">
      <c r="A194" s="102"/>
      <c r="B194" s="63" t="s">
        <v>600</v>
      </c>
      <c r="C194" s="243">
        <v>1</v>
      </c>
      <c r="D194" s="149"/>
      <c r="E194" s="64"/>
      <c r="F194" s="64"/>
      <c r="G194" s="102"/>
      <c r="H194" s="102"/>
    </row>
    <row r="195" spans="1:8" ht="28.5" customHeight="1" x14ac:dyDescent="0.2">
      <c r="A195" s="102"/>
      <c r="B195" s="156" t="s">
        <v>601</v>
      </c>
      <c r="C195" s="244"/>
      <c r="D195" s="149">
        <v>1</v>
      </c>
      <c r="E195" s="150">
        <f>8400*1.04*1.05</f>
        <v>9172.8000000000011</v>
      </c>
      <c r="F195" s="65">
        <f t="shared" ref="F195:F197" si="6">D195*E195</f>
        <v>9172.8000000000011</v>
      </c>
      <c r="G195" s="102"/>
      <c r="H195" s="102"/>
    </row>
    <row r="196" spans="1:8" ht="28.5" customHeight="1" x14ac:dyDescent="0.2">
      <c r="A196" s="102"/>
      <c r="B196" s="156" t="s">
        <v>602</v>
      </c>
      <c r="C196" s="245"/>
      <c r="D196" s="149">
        <v>4</v>
      </c>
      <c r="E196" s="150">
        <f>1400*1.04*1.05</f>
        <v>1528.8</v>
      </c>
      <c r="F196" s="65">
        <f t="shared" si="6"/>
        <v>6115.2</v>
      </c>
      <c r="G196" s="102"/>
      <c r="H196" s="102"/>
    </row>
    <row r="197" spans="1:8" ht="28.5" customHeight="1" x14ac:dyDescent="0.2">
      <c r="A197" s="102"/>
      <c r="B197" s="146" t="s">
        <v>572</v>
      </c>
      <c r="C197" s="157">
        <v>1</v>
      </c>
      <c r="D197" s="157">
        <v>4</v>
      </c>
      <c r="E197" s="150">
        <f>4400*1.04*1.05</f>
        <v>4804.8</v>
      </c>
      <c r="F197" s="65">
        <f t="shared" si="6"/>
        <v>19219.2</v>
      </c>
      <c r="G197" s="102"/>
      <c r="H197" s="102"/>
    </row>
    <row r="198" spans="1:8" ht="28.5" customHeight="1" x14ac:dyDescent="0.2">
      <c r="A198" s="102"/>
      <c r="B198" s="146" t="s">
        <v>603</v>
      </c>
      <c r="C198" s="157">
        <v>1</v>
      </c>
      <c r="D198" s="157">
        <v>4</v>
      </c>
      <c r="E198" s="150">
        <f>4400*1.04*1.05</f>
        <v>4804.8</v>
      </c>
      <c r="F198" s="151">
        <f>D198*E198</f>
        <v>19219.2</v>
      </c>
      <c r="G198" s="102"/>
      <c r="H198" s="102"/>
    </row>
    <row r="199" spans="1:8" ht="28.5" customHeight="1" x14ac:dyDescent="0.2">
      <c r="A199" s="102"/>
      <c r="B199" s="64" t="s">
        <v>574</v>
      </c>
      <c r="C199" s="149"/>
      <c r="D199" s="149"/>
      <c r="E199" s="150"/>
      <c r="F199" s="84">
        <f>SUM(F184:F198)</f>
        <v>591572.79999999993</v>
      </c>
      <c r="G199" s="102"/>
      <c r="H199" s="102"/>
    </row>
    <row r="200" spans="1:8" ht="28.5" customHeight="1" x14ac:dyDescent="0.2">
      <c r="A200" s="102"/>
      <c r="B200" s="103"/>
      <c r="C200" s="158"/>
      <c r="D200" s="158"/>
      <c r="E200" s="104"/>
      <c r="F200" s="159"/>
      <c r="G200" s="102"/>
      <c r="H200" s="102"/>
    </row>
    <row r="201" spans="1:8" s="58" customFormat="1" ht="28.5" customHeight="1" x14ac:dyDescent="0.25">
      <c r="A201" s="59" t="s">
        <v>107</v>
      </c>
      <c r="B201" s="241" t="s">
        <v>38</v>
      </c>
      <c r="C201" s="241"/>
      <c r="D201" s="241"/>
      <c r="E201" s="241"/>
      <c r="F201" s="241"/>
      <c r="G201" s="160">
        <f>E209</f>
        <v>95550</v>
      </c>
      <c r="H201" s="59"/>
    </row>
    <row r="202" spans="1:8" ht="60" customHeight="1" x14ac:dyDescent="0.2">
      <c r="A202" s="102"/>
      <c r="B202" s="64"/>
      <c r="C202" s="63" t="s">
        <v>33</v>
      </c>
      <c r="D202" s="63" t="s">
        <v>34</v>
      </c>
      <c r="E202" s="64" t="s">
        <v>4</v>
      </c>
      <c r="F202" s="102"/>
      <c r="G202" s="102"/>
      <c r="H202" s="102"/>
    </row>
    <row r="203" spans="1:8" ht="28.5" customHeight="1" x14ac:dyDescent="0.2">
      <c r="A203" s="102"/>
      <c r="B203" s="63" t="s">
        <v>604</v>
      </c>
      <c r="C203" s="64">
        <v>1</v>
      </c>
      <c r="D203" s="64">
        <f>12500*1.04*1.05</f>
        <v>13650</v>
      </c>
      <c r="E203" s="65">
        <f>C203*D203</f>
        <v>13650</v>
      </c>
      <c r="F203" s="161"/>
      <c r="G203" s="102"/>
      <c r="H203" s="102"/>
    </row>
    <row r="204" spans="1:8" ht="28.5" customHeight="1" x14ac:dyDescent="0.2">
      <c r="A204" s="102"/>
      <c r="B204" s="63" t="s">
        <v>605</v>
      </c>
      <c r="C204" s="64">
        <v>1</v>
      </c>
      <c r="D204" s="64">
        <f>21000*1.04*1.05</f>
        <v>22932</v>
      </c>
      <c r="E204" s="65">
        <f t="shared" ref="E204:E208" si="7">C204*D204</f>
        <v>22932</v>
      </c>
      <c r="F204" s="147"/>
      <c r="G204" s="102"/>
      <c r="H204" s="102"/>
    </row>
    <row r="205" spans="1:8" ht="28.5" customHeight="1" x14ac:dyDescent="0.2">
      <c r="A205" s="102"/>
      <c r="B205" s="63" t="s">
        <v>606</v>
      </c>
      <c r="C205" s="64">
        <v>1</v>
      </c>
      <c r="D205" s="64">
        <f>23000*1.04*1.05</f>
        <v>25116</v>
      </c>
      <c r="E205" s="65">
        <f t="shared" si="7"/>
        <v>25116</v>
      </c>
      <c r="F205" s="147"/>
      <c r="G205" s="102"/>
      <c r="H205" s="102"/>
    </row>
    <row r="206" spans="1:8" ht="28.5" customHeight="1" x14ac:dyDescent="0.2">
      <c r="A206" s="102"/>
      <c r="B206" s="63" t="s">
        <v>607</v>
      </c>
      <c r="C206" s="64">
        <v>1</v>
      </c>
      <c r="D206" s="64">
        <f>19500*1.04*1.05</f>
        <v>21294</v>
      </c>
      <c r="E206" s="65">
        <f t="shared" si="7"/>
        <v>21294</v>
      </c>
      <c r="F206" s="147"/>
      <c r="G206" s="102"/>
      <c r="H206" s="102"/>
    </row>
    <row r="207" spans="1:8" ht="28.5" customHeight="1" x14ac:dyDescent="0.2">
      <c r="A207" s="102"/>
      <c r="B207" s="63" t="s">
        <v>608</v>
      </c>
      <c r="C207" s="64">
        <v>1</v>
      </c>
      <c r="D207" s="64">
        <f>6300*1.04*1.05</f>
        <v>6879.6</v>
      </c>
      <c r="E207" s="65">
        <f t="shared" si="7"/>
        <v>6879.6</v>
      </c>
      <c r="F207" s="147"/>
      <c r="G207" s="102"/>
      <c r="H207" s="102"/>
    </row>
    <row r="208" spans="1:8" ht="28.5" customHeight="1" x14ac:dyDescent="0.2">
      <c r="A208" s="102"/>
      <c r="B208" s="63" t="s">
        <v>609</v>
      </c>
      <c r="C208" s="64">
        <v>1</v>
      </c>
      <c r="D208" s="64">
        <f>5200*1.04*1.05</f>
        <v>5678.4000000000005</v>
      </c>
      <c r="E208" s="65">
        <f t="shared" si="7"/>
        <v>5678.4000000000005</v>
      </c>
      <c r="F208" s="147"/>
      <c r="G208" s="102"/>
      <c r="H208" s="102"/>
    </row>
    <row r="209" spans="1:8" s="164" customFormat="1" ht="28.5" customHeight="1" x14ac:dyDescent="0.2">
      <c r="A209" s="162"/>
      <c r="B209" s="163" t="s">
        <v>5</v>
      </c>
      <c r="C209" s="163"/>
      <c r="D209" s="163"/>
      <c r="E209" s="84">
        <f>SUM(E203:E208)</f>
        <v>95550</v>
      </c>
      <c r="F209" s="162"/>
      <c r="G209" s="162"/>
      <c r="H209" s="162"/>
    </row>
    <row r="210" spans="1:8" s="58" customFormat="1" ht="28.5" customHeight="1" x14ac:dyDescent="0.25">
      <c r="A210" s="59" t="s">
        <v>108</v>
      </c>
      <c r="B210" s="230" t="s">
        <v>356</v>
      </c>
      <c r="C210" s="230"/>
      <c r="D210" s="230"/>
      <c r="E210" s="230"/>
      <c r="F210" s="130"/>
      <c r="G210" s="120">
        <v>0</v>
      </c>
      <c r="H210" s="59"/>
    </row>
    <row r="211" spans="1:8" ht="28.5" customHeight="1" x14ac:dyDescent="0.2">
      <c r="A211" s="51"/>
      <c r="B211" s="121"/>
      <c r="C211" s="121"/>
      <c r="D211" s="121"/>
      <c r="E211" s="121"/>
      <c r="F211" s="121"/>
      <c r="G211" s="122"/>
      <c r="H211" s="51"/>
    </row>
    <row r="212" spans="1:8" ht="28.5" customHeight="1" x14ac:dyDescent="0.2">
      <c r="A212" s="54" t="s">
        <v>109</v>
      </c>
      <c r="B212" s="54" t="s">
        <v>111</v>
      </c>
      <c r="C212" s="54"/>
      <c r="D212" s="54"/>
      <c r="E212" s="54"/>
      <c r="F212" s="54"/>
      <c r="G212" s="55">
        <f>G213+G234+G243+G248+G303+G317+G381+G406+G428</f>
        <v>2248026.8152999999</v>
      </c>
      <c r="H212" s="54"/>
    </row>
    <row r="213" spans="1:8" ht="28.5" customHeight="1" x14ac:dyDescent="0.2">
      <c r="A213" s="54" t="s">
        <v>13</v>
      </c>
      <c r="B213" s="235" t="s">
        <v>110</v>
      </c>
      <c r="C213" s="235"/>
      <c r="D213" s="235"/>
      <c r="E213" s="235"/>
      <c r="F213" s="235"/>
      <c r="G213" s="55">
        <f>G215</f>
        <v>6750.2</v>
      </c>
      <c r="H213" s="54"/>
    </row>
    <row r="214" spans="1:8" ht="28.5" customHeight="1" x14ac:dyDescent="0.2">
      <c r="A214" s="51"/>
      <c r="B214" s="51"/>
      <c r="C214" s="51"/>
      <c r="D214" s="51"/>
      <c r="E214" s="51"/>
      <c r="F214" s="51"/>
      <c r="G214" s="53"/>
      <c r="H214" s="51"/>
    </row>
    <row r="215" spans="1:8" ht="28.5" customHeight="1" x14ac:dyDescent="0.2">
      <c r="A215" s="51" t="s">
        <v>17</v>
      </c>
      <c r="B215" s="51" t="s">
        <v>112</v>
      </c>
      <c r="C215" s="51"/>
      <c r="D215" s="51"/>
      <c r="E215" s="51"/>
      <c r="F215" s="51"/>
      <c r="G215" s="89">
        <f>G220+G232</f>
        <v>6750.2</v>
      </c>
      <c r="H215" s="51"/>
    </row>
    <row r="216" spans="1:8" ht="28.5" customHeight="1" x14ac:dyDescent="0.2">
      <c r="A216" s="51"/>
      <c r="B216" s="51"/>
      <c r="C216" s="51"/>
      <c r="D216" s="51"/>
      <c r="E216" s="51"/>
      <c r="F216" s="51"/>
      <c r="G216" s="53"/>
      <c r="H216" s="51"/>
    </row>
    <row r="217" spans="1:8" ht="56.25" customHeight="1" x14ac:dyDescent="0.2">
      <c r="A217" s="51"/>
      <c r="B217" s="62" t="s">
        <v>114</v>
      </c>
      <c r="C217" s="62" t="s">
        <v>115</v>
      </c>
      <c r="D217" s="61" t="s">
        <v>4</v>
      </c>
      <c r="E217" s="51"/>
      <c r="F217" s="51"/>
      <c r="G217" s="53"/>
      <c r="H217" s="51"/>
    </row>
    <row r="218" spans="1:8" ht="28.5" customHeight="1" x14ac:dyDescent="0.2">
      <c r="A218" s="51"/>
      <c r="B218" s="165">
        <f>E230</f>
        <v>6750.2</v>
      </c>
      <c r="C218" s="65">
        <v>0</v>
      </c>
      <c r="D218" s="84">
        <f>SUM(B218:C218)</f>
        <v>6750.2</v>
      </c>
      <c r="E218" s="51"/>
      <c r="F218" s="51"/>
      <c r="G218" s="53"/>
      <c r="H218" s="51"/>
    </row>
    <row r="219" spans="1:8" ht="28.5" customHeight="1" x14ac:dyDescent="0.2">
      <c r="A219" s="51"/>
      <c r="B219" s="135"/>
      <c r="C219" s="135"/>
      <c r="D219" s="101"/>
      <c r="E219" s="51"/>
      <c r="F219" s="51"/>
      <c r="G219" s="53"/>
      <c r="H219" s="51"/>
    </row>
    <row r="220" spans="1:8" ht="28.5" customHeight="1" x14ac:dyDescent="0.2">
      <c r="A220" s="51" t="s">
        <v>113</v>
      </c>
      <c r="B220" s="51" t="s">
        <v>41</v>
      </c>
      <c r="C220" s="51"/>
      <c r="D220" s="51"/>
      <c r="E220" s="51"/>
      <c r="F220" s="51"/>
      <c r="G220" s="89">
        <f>E230</f>
        <v>6750.2</v>
      </c>
      <c r="H220" s="51"/>
    </row>
    <row r="221" spans="1:8" ht="61.5" customHeight="1" x14ac:dyDescent="0.2">
      <c r="B221" s="97" t="s">
        <v>249</v>
      </c>
      <c r="C221" s="166" t="s">
        <v>42</v>
      </c>
      <c r="D221" s="166" t="s">
        <v>395</v>
      </c>
      <c r="E221" s="97" t="s">
        <v>4</v>
      </c>
      <c r="G221" s="52"/>
    </row>
    <row r="222" spans="1:8" ht="28.5" customHeight="1" x14ac:dyDescent="0.2">
      <c r="B222" s="167" t="s">
        <v>396</v>
      </c>
      <c r="C222" s="64">
        <v>30</v>
      </c>
      <c r="D222" s="65">
        <f>40*1.04*1.05</f>
        <v>43.680000000000007</v>
      </c>
      <c r="E222" s="65">
        <f>C222*D222</f>
        <v>1310.4000000000001</v>
      </c>
      <c r="F222" s="139"/>
      <c r="G222" s="52"/>
    </row>
    <row r="223" spans="1:8" ht="28.5" customHeight="1" x14ac:dyDescent="0.2">
      <c r="B223" s="167" t="s">
        <v>397</v>
      </c>
      <c r="C223" s="168" t="s">
        <v>438</v>
      </c>
      <c r="D223" s="169" t="s">
        <v>398</v>
      </c>
      <c r="E223" s="65">
        <v>2000</v>
      </c>
      <c r="F223" s="139"/>
      <c r="G223" s="52"/>
    </row>
    <row r="224" spans="1:8" ht="28.5" customHeight="1" x14ac:dyDescent="0.2">
      <c r="B224" s="167" t="s">
        <v>399</v>
      </c>
      <c r="C224" s="64">
        <v>5</v>
      </c>
      <c r="D224" s="65">
        <f>150*1.04*1.05</f>
        <v>163.80000000000001</v>
      </c>
      <c r="E224" s="65">
        <f t="shared" ref="E224:E229" si="8">C224*D224</f>
        <v>819</v>
      </c>
      <c r="F224" s="139"/>
      <c r="G224" s="52"/>
    </row>
    <row r="225" spans="1:8" ht="28.5" customHeight="1" x14ac:dyDescent="0.2">
      <c r="B225" s="167" t="s">
        <v>399</v>
      </c>
      <c r="C225" s="64">
        <v>1</v>
      </c>
      <c r="D225" s="65">
        <f>200*1.04*1.05</f>
        <v>218.4</v>
      </c>
      <c r="E225" s="65">
        <f t="shared" si="8"/>
        <v>218.4</v>
      </c>
      <c r="F225" s="139"/>
      <c r="G225" s="52"/>
    </row>
    <row r="226" spans="1:8" ht="28.5" customHeight="1" x14ac:dyDescent="0.2">
      <c r="B226" s="167" t="s">
        <v>399</v>
      </c>
      <c r="C226" s="64">
        <v>1</v>
      </c>
      <c r="D226" s="65">
        <f>300*1.04*1.05</f>
        <v>327.60000000000002</v>
      </c>
      <c r="E226" s="65">
        <f t="shared" si="8"/>
        <v>327.60000000000002</v>
      </c>
      <c r="F226" s="139"/>
      <c r="G226" s="52"/>
    </row>
    <row r="227" spans="1:8" ht="28.5" customHeight="1" x14ac:dyDescent="0.2">
      <c r="B227" s="167" t="s">
        <v>399</v>
      </c>
      <c r="C227" s="64">
        <v>1</v>
      </c>
      <c r="D227" s="65">
        <f>400*1.04*1.05</f>
        <v>436.8</v>
      </c>
      <c r="E227" s="65">
        <f t="shared" si="8"/>
        <v>436.8</v>
      </c>
      <c r="F227" s="139"/>
      <c r="G227" s="52"/>
    </row>
    <row r="228" spans="1:8" ht="28.5" customHeight="1" x14ac:dyDescent="0.2">
      <c r="B228" s="167" t="s">
        <v>399</v>
      </c>
      <c r="C228" s="64">
        <v>1</v>
      </c>
      <c r="D228" s="65">
        <f>500*1.04*1.05</f>
        <v>546</v>
      </c>
      <c r="E228" s="65">
        <f t="shared" si="8"/>
        <v>546</v>
      </c>
      <c r="F228" s="139"/>
      <c r="G228" s="52"/>
    </row>
    <row r="229" spans="1:8" ht="28.5" customHeight="1" x14ac:dyDescent="0.2">
      <c r="B229" s="167" t="s">
        <v>399</v>
      </c>
      <c r="C229" s="64">
        <v>1</v>
      </c>
      <c r="D229" s="65">
        <f>1000*1.04*1.05</f>
        <v>1092</v>
      </c>
      <c r="E229" s="65">
        <f t="shared" si="8"/>
        <v>1092</v>
      </c>
      <c r="F229" s="139"/>
      <c r="G229" s="52"/>
    </row>
    <row r="230" spans="1:8" ht="20.25" customHeight="1" x14ac:dyDescent="0.2">
      <c r="B230" s="64" t="s">
        <v>5</v>
      </c>
      <c r="C230" s="64"/>
      <c r="D230" s="64"/>
      <c r="E230" s="84">
        <f>SUM(E222:E229)</f>
        <v>6750.2</v>
      </c>
      <c r="G230" s="52"/>
    </row>
    <row r="231" spans="1:8" ht="28.5" customHeight="1" x14ac:dyDescent="0.2">
      <c r="A231" s="51"/>
      <c r="B231" s="51"/>
      <c r="C231" s="51"/>
      <c r="D231" s="51"/>
      <c r="E231" s="51"/>
      <c r="F231" s="51"/>
      <c r="G231" s="53"/>
      <c r="H231" s="51"/>
    </row>
    <row r="232" spans="1:8" s="58" customFormat="1" ht="28.5" customHeight="1" x14ac:dyDescent="0.25">
      <c r="A232" s="59" t="s">
        <v>116</v>
      </c>
      <c r="B232" s="59" t="s">
        <v>117</v>
      </c>
      <c r="C232" s="59"/>
      <c r="D232" s="59"/>
      <c r="E232" s="59"/>
      <c r="F232" s="59"/>
      <c r="G232" s="60">
        <v>0</v>
      </c>
      <c r="H232" s="59"/>
    </row>
    <row r="233" spans="1:8" s="58" customFormat="1" ht="28.5" customHeight="1" x14ac:dyDescent="0.25">
      <c r="A233" s="59"/>
      <c r="B233" s="59"/>
      <c r="C233" s="59"/>
      <c r="D233" s="59"/>
      <c r="E233" s="59"/>
      <c r="F233" s="59"/>
      <c r="G233" s="170"/>
      <c r="H233" s="59"/>
    </row>
    <row r="234" spans="1:8" s="58" customFormat="1" ht="28.5" customHeight="1" x14ac:dyDescent="0.25">
      <c r="A234" s="56" t="s">
        <v>119</v>
      </c>
      <c r="B234" s="226" t="s">
        <v>118</v>
      </c>
      <c r="C234" s="226"/>
      <c r="D234" s="226"/>
      <c r="E234" s="226"/>
      <c r="F234" s="226"/>
      <c r="G234" s="57">
        <f>SUM(G235:G242)</f>
        <v>21840</v>
      </c>
      <c r="H234" s="56"/>
    </row>
    <row r="235" spans="1:8" s="58" customFormat="1" ht="28.5" customHeight="1" x14ac:dyDescent="0.25">
      <c r="A235" s="59" t="s">
        <v>120</v>
      </c>
      <c r="B235" s="59" t="s">
        <v>123</v>
      </c>
      <c r="C235" s="59"/>
      <c r="D235" s="59"/>
      <c r="E235" s="59"/>
      <c r="F235" s="59"/>
      <c r="G235" s="60">
        <f>E239</f>
        <v>21840</v>
      </c>
      <c r="H235" s="59"/>
    </row>
    <row r="236" spans="1:8" s="58" customFormat="1" ht="14.25" customHeight="1" x14ac:dyDescent="0.25">
      <c r="A236" s="59"/>
      <c r="B236" s="59"/>
      <c r="C236" s="59"/>
      <c r="D236" s="59"/>
      <c r="E236" s="59"/>
      <c r="F236" s="59"/>
      <c r="G236" s="60"/>
      <c r="H236" s="59"/>
    </row>
    <row r="237" spans="1:8" s="58" customFormat="1" ht="54.75" customHeight="1" x14ac:dyDescent="0.2">
      <c r="A237" s="51"/>
      <c r="B237" s="79"/>
      <c r="C237" s="78" t="s">
        <v>33</v>
      </c>
      <c r="D237" s="78" t="s">
        <v>34</v>
      </c>
      <c r="E237" s="79" t="s">
        <v>4</v>
      </c>
      <c r="F237" s="59"/>
      <c r="G237" s="60"/>
      <c r="H237" s="59"/>
    </row>
    <row r="238" spans="1:8" s="58" customFormat="1" ht="28.5" customHeight="1" x14ac:dyDescent="0.2">
      <c r="A238" s="51"/>
      <c r="B238" s="79" t="s">
        <v>725</v>
      </c>
      <c r="C238" s="79">
        <v>2</v>
      </c>
      <c r="D238" s="108">
        <f>10000*1.04*1.05</f>
        <v>10920</v>
      </c>
      <c r="E238" s="108">
        <f>C238*D238</f>
        <v>21840</v>
      </c>
      <c r="F238" s="59"/>
      <c r="G238" s="60"/>
      <c r="H238" s="59"/>
    </row>
    <row r="239" spans="1:8" s="58" customFormat="1" ht="28.5" customHeight="1" x14ac:dyDescent="0.2">
      <c r="A239" s="51"/>
      <c r="B239" s="79" t="s">
        <v>5</v>
      </c>
      <c r="C239" s="79"/>
      <c r="D239" s="79"/>
      <c r="E239" s="109">
        <f>SUM(E238:E238)</f>
        <v>21840</v>
      </c>
      <c r="F239" s="59"/>
      <c r="G239" s="60"/>
      <c r="H239" s="59"/>
    </row>
    <row r="240" spans="1:8" s="58" customFormat="1" ht="28.5" customHeight="1" x14ac:dyDescent="0.25">
      <c r="A240" s="59" t="s">
        <v>121</v>
      </c>
      <c r="B240" s="59" t="s">
        <v>124</v>
      </c>
      <c r="C240" s="59"/>
      <c r="D240" s="59"/>
      <c r="E240" s="59"/>
      <c r="F240" s="59"/>
      <c r="G240" s="60">
        <v>0</v>
      </c>
      <c r="H240" s="59"/>
    </row>
    <row r="241" spans="1:8" s="58" customFormat="1" ht="28.5" customHeight="1" x14ac:dyDescent="0.25">
      <c r="A241" s="59" t="s">
        <v>122</v>
      </c>
      <c r="B241" s="59" t="s">
        <v>125</v>
      </c>
      <c r="C241" s="59"/>
      <c r="D241" s="59"/>
      <c r="E241" s="59"/>
      <c r="F241" s="59"/>
      <c r="G241" s="60">
        <v>0</v>
      </c>
      <c r="H241" s="59"/>
    </row>
    <row r="242" spans="1:8" s="58" customFormat="1" ht="28.5" customHeight="1" x14ac:dyDescent="0.25">
      <c r="A242" s="59" t="s">
        <v>126</v>
      </c>
      <c r="B242" s="59" t="s">
        <v>127</v>
      </c>
      <c r="C242" s="59"/>
      <c r="D242" s="59"/>
      <c r="E242" s="59"/>
      <c r="F242" s="59"/>
      <c r="G242" s="60">
        <v>0</v>
      </c>
      <c r="H242" s="59"/>
    </row>
    <row r="243" spans="1:8" s="58" customFormat="1" ht="28.5" customHeight="1" x14ac:dyDescent="0.25">
      <c r="A243" s="56" t="s">
        <v>128</v>
      </c>
      <c r="B243" s="226" t="s">
        <v>129</v>
      </c>
      <c r="C243" s="226"/>
      <c r="D243" s="226"/>
      <c r="E243" s="226"/>
      <c r="F243" s="226"/>
      <c r="G243" s="57">
        <f>G245</f>
        <v>0</v>
      </c>
      <c r="H243" s="56"/>
    </row>
    <row r="244" spans="1:8" s="58" customFormat="1" ht="28.5" customHeight="1" x14ac:dyDescent="0.25">
      <c r="A244" s="59"/>
      <c r="B244" s="59"/>
      <c r="C244" s="59"/>
      <c r="D244" s="59"/>
      <c r="E244" s="59"/>
      <c r="F244" s="59"/>
      <c r="G244" s="170"/>
      <c r="H244" s="59"/>
    </row>
    <row r="245" spans="1:8" s="58" customFormat="1" ht="28.5" customHeight="1" x14ac:dyDescent="0.25">
      <c r="A245" s="59" t="s">
        <v>130</v>
      </c>
      <c r="B245" s="230" t="s">
        <v>131</v>
      </c>
      <c r="C245" s="230"/>
      <c r="D245" s="230"/>
      <c r="E245" s="230"/>
      <c r="F245" s="230"/>
      <c r="G245" s="60">
        <f>G246+G247</f>
        <v>0</v>
      </c>
      <c r="H245" s="59"/>
    </row>
    <row r="246" spans="1:8" s="58" customFormat="1" ht="28.5" customHeight="1" x14ac:dyDescent="0.25">
      <c r="A246" s="59" t="s">
        <v>132</v>
      </c>
      <c r="B246" s="59" t="s">
        <v>133</v>
      </c>
      <c r="C246" s="59"/>
      <c r="D246" s="59"/>
      <c r="E246" s="59"/>
      <c r="F246" s="59"/>
      <c r="G246" s="60">
        <v>0</v>
      </c>
      <c r="H246" s="59"/>
    </row>
    <row r="247" spans="1:8" s="58" customFormat="1" ht="28.5" customHeight="1" x14ac:dyDescent="0.25">
      <c r="A247" s="59" t="s">
        <v>134</v>
      </c>
      <c r="B247" s="59" t="s">
        <v>135</v>
      </c>
      <c r="C247" s="59"/>
      <c r="D247" s="59"/>
      <c r="E247" s="59"/>
      <c r="F247" s="59"/>
      <c r="G247" s="60">
        <v>0</v>
      </c>
      <c r="H247" s="59"/>
    </row>
    <row r="248" spans="1:8" s="58" customFormat="1" ht="28.5" customHeight="1" x14ac:dyDescent="0.25">
      <c r="A248" s="56" t="s">
        <v>137</v>
      </c>
      <c r="B248" s="226" t="s">
        <v>136</v>
      </c>
      <c r="C248" s="226"/>
      <c r="D248" s="226"/>
      <c r="E248" s="226"/>
      <c r="F248" s="226"/>
      <c r="G248" s="57">
        <f>G250+G251+G257+G264+G265+G298+G283+G274+G290</f>
        <v>206940</v>
      </c>
      <c r="H248" s="56"/>
    </row>
    <row r="249" spans="1:8" s="58" customFormat="1" ht="28.5" customHeight="1" x14ac:dyDescent="0.25">
      <c r="A249" s="56"/>
      <c r="B249" s="171"/>
      <c r="C249" s="171"/>
      <c r="D249" s="171"/>
      <c r="E249" s="171"/>
      <c r="F249" s="171"/>
      <c r="G249" s="57"/>
      <c r="H249" s="56"/>
    </row>
    <row r="250" spans="1:8" s="58" customFormat="1" ht="28.5" customHeight="1" x14ac:dyDescent="0.25">
      <c r="A250" s="59" t="s">
        <v>138</v>
      </c>
      <c r="B250" s="230" t="s">
        <v>139</v>
      </c>
      <c r="C250" s="230"/>
      <c r="D250" s="230"/>
      <c r="E250" s="230"/>
      <c r="F250" s="230"/>
      <c r="G250" s="60">
        <v>0</v>
      </c>
      <c r="H250" s="59"/>
    </row>
    <row r="251" spans="1:8" s="58" customFormat="1" ht="28.5" customHeight="1" x14ac:dyDescent="0.25">
      <c r="A251" s="59" t="s">
        <v>140</v>
      </c>
      <c r="B251" s="230" t="s">
        <v>141</v>
      </c>
      <c r="C251" s="230"/>
      <c r="D251" s="230"/>
      <c r="E251" s="230"/>
      <c r="F251" s="230"/>
      <c r="G251" s="60">
        <f>E255</f>
        <v>61680</v>
      </c>
      <c r="H251" s="59"/>
    </row>
    <row r="252" spans="1:8" ht="58.5" customHeight="1" x14ac:dyDescent="0.2">
      <c r="A252" s="51"/>
      <c r="B252" s="61" t="s">
        <v>249</v>
      </c>
      <c r="C252" s="62" t="s">
        <v>142</v>
      </c>
      <c r="D252" s="62" t="s">
        <v>143</v>
      </c>
      <c r="E252" s="61" t="s">
        <v>4</v>
      </c>
      <c r="F252" s="51"/>
      <c r="G252" s="53"/>
      <c r="H252" s="51"/>
    </row>
    <row r="253" spans="1:8" ht="28.5" customHeight="1" x14ac:dyDescent="0.25">
      <c r="A253" s="51"/>
      <c r="B253" s="68" t="s">
        <v>750</v>
      </c>
      <c r="C253" s="211">
        <v>12</v>
      </c>
      <c r="D253" s="210">
        <v>3640</v>
      </c>
      <c r="E253" s="210">
        <f>C253*D253</f>
        <v>43680</v>
      </c>
      <c r="F253" s="231"/>
      <c r="G253" s="232"/>
      <c r="H253" s="232"/>
    </row>
    <row r="254" spans="1:8" ht="28.5" customHeight="1" x14ac:dyDescent="0.25">
      <c r="A254" s="51"/>
      <c r="B254" s="68" t="s">
        <v>751</v>
      </c>
      <c r="C254" s="211">
        <v>12</v>
      </c>
      <c r="D254" s="210">
        <v>1500</v>
      </c>
      <c r="E254" s="210">
        <f>C254*D254</f>
        <v>18000</v>
      </c>
      <c r="F254" s="73"/>
      <c r="G254" s="73"/>
      <c r="H254" s="73"/>
    </row>
    <row r="255" spans="1:8" ht="28.5" customHeight="1" x14ac:dyDescent="0.2">
      <c r="A255" s="51"/>
      <c r="B255" s="79" t="s">
        <v>5</v>
      </c>
      <c r="C255" s="79"/>
      <c r="D255" s="79"/>
      <c r="E255" s="109">
        <f>SUM(E253:E254)</f>
        <v>61680</v>
      </c>
      <c r="F255" s="51"/>
      <c r="G255" s="53"/>
      <c r="H255" s="51"/>
    </row>
    <row r="256" spans="1:8" ht="28.5" customHeight="1" x14ac:dyDescent="0.2">
      <c r="A256" s="51"/>
      <c r="B256" s="51"/>
      <c r="C256" s="51"/>
      <c r="D256" s="51"/>
      <c r="E256" s="51"/>
      <c r="F256" s="51"/>
      <c r="G256" s="53"/>
      <c r="H256" s="51"/>
    </row>
    <row r="257" spans="1:8" s="58" customFormat="1" ht="28.5" customHeight="1" x14ac:dyDescent="0.25">
      <c r="A257" s="59" t="s">
        <v>144</v>
      </c>
      <c r="B257" s="59" t="s">
        <v>145</v>
      </c>
      <c r="C257" s="59"/>
      <c r="D257" s="59"/>
      <c r="E257" s="59"/>
      <c r="F257" s="59"/>
      <c r="G257" s="60">
        <f>E262</f>
        <v>124800</v>
      </c>
      <c r="H257" s="59"/>
    </row>
    <row r="258" spans="1:8" ht="28.5" customHeight="1" x14ac:dyDescent="0.2">
      <c r="A258" s="51"/>
      <c r="B258" s="51"/>
      <c r="C258" s="51"/>
      <c r="D258" s="51"/>
      <c r="E258" s="51"/>
      <c r="F258" s="51"/>
      <c r="G258" s="53"/>
      <c r="H258" s="51"/>
    </row>
    <row r="259" spans="1:8" ht="55.5" customHeight="1" x14ac:dyDescent="0.2">
      <c r="A259" s="51"/>
      <c r="B259" s="61" t="s">
        <v>249</v>
      </c>
      <c r="C259" s="62" t="s">
        <v>146</v>
      </c>
      <c r="D259" s="62" t="s">
        <v>147</v>
      </c>
      <c r="E259" s="61" t="s">
        <v>4</v>
      </c>
      <c r="F259" s="51"/>
      <c r="G259" s="53"/>
      <c r="H259" s="51"/>
    </row>
    <row r="260" spans="1:8" ht="28.5" customHeight="1" x14ac:dyDescent="0.2">
      <c r="A260" s="51"/>
      <c r="B260" s="78" t="s">
        <v>752</v>
      </c>
      <c r="C260" s="172">
        <v>3200</v>
      </c>
      <c r="D260" s="108">
        <v>30</v>
      </c>
      <c r="E260" s="108">
        <f>C260*D260</f>
        <v>96000</v>
      </c>
      <c r="F260" s="51"/>
      <c r="G260" s="53"/>
      <c r="H260" s="51"/>
    </row>
    <row r="261" spans="1:8" ht="28.5" customHeight="1" x14ac:dyDescent="0.2">
      <c r="A261" s="51"/>
      <c r="B261" s="68" t="s">
        <v>751</v>
      </c>
      <c r="C261" s="172">
        <v>3200</v>
      </c>
      <c r="D261" s="108">
        <v>9</v>
      </c>
      <c r="E261" s="108">
        <f>C261*D261</f>
        <v>28800</v>
      </c>
      <c r="F261" s="51"/>
      <c r="G261" s="53"/>
      <c r="H261" s="51"/>
    </row>
    <row r="262" spans="1:8" ht="28.5" customHeight="1" x14ac:dyDescent="0.2">
      <c r="A262" s="51"/>
      <c r="B262" s="79" t="s">
        <v>5</v>
      </c>
      <c r="C262" s="79"/>
      <c r="D262" s="79"/>
      <c r="E262" s="109">
        <f>SUM(E260:E261)</f>
        <v>124800</v>
      </c>
      <c r="F262" s="231"/>
      <c r="G262" s="232"/>
      <c r="H262" s="232"/>
    </row>
    <row r="263" spans="1:8" ht="28.5" customHeight="1" x14ac:dyDescent="0.2">
      <c r="A263" s="51"/>
      <c r="B263" s="51"/>
      <c r="C263" s="51"/>
      <c r="D263" s="51"/>
      <c r="E263" s="51"/>
      <c r="F263" s="51"/>
      <c r="G263" s="53"/>
      <c r="H263" s="51"/>
    </row>
    <row r="264" spans="1:8" s="58" customFormat="1" ht="28.5" customHeight="1" x14ac:dyDescent="0.25">
      <c r="A264" s="59" t="s">
        <v>148</v>
      </c>
      <c r="B264" s="59" t="s">
        <v>149</v>
      </c>
      <c r="C264" s="59"/>
      <c r="D264" s="59"/>
      <c r="E264" s="59"/>
      <c r="F264" s="59"/>
      <c r="G264" s="60">
        <v>0</v>
      </c>
      <c r="H264" s="59"/>
    </row>
    <row r="265" spans="1:8" s="58" customFormat="1" ht="28.5" customHeight="1" x14ac:dyDescent="0.25">
      <c r="A265" s="59" t="s">
        <v>150</v>
      </c>
      <c r="B265" s="59" t="s">
        <v>151</v>
      </c>
      <c r="C265" s="59"/>
      <c r="D265" s="59"/>
      <c r="E265" s="59"/>
      <c r="F265" s="59"/>
      <c r="G265" s="60">
        <f>E272</f>
        <v>13500</v>
      </c>
      <c r="H265" s="59"/>
    </row>
    <row r="266" spans="1:8" ht="10.5" customHeight="1" x14ac:dyDescent="0.2">
      <c r="A266" s="51"/>
      <c r="B266" s="51"/>
      <c r="C266" s="51"/>
      <c r="D266" s="51"/>
      <c r="E266" s="51"/>
      <c r="F266" s="51"/>
      <c r="G266" s="53"/>
      <c r="H266" s="51"/>
    </row>
    <row r="267" spans="1:8" ht="28.5" customHeight="1" x14ac:dyDescent="0.2">
      <c r="A267" s="51"/>
      <c r="B267" s="61" t="s">
        <v>249</v>
      </c>
      <c r="C267" s="62" t="s">
        <v>152</v>
      </c>
      <c r="D267" s="62" t="s">
        <v>153</v>
      </c>
      <c r="E267" s="62" t="s">
        <v>371</v>
      </c>
      <c r="F267" s="51"/>
      <c r="G267" s="52"/>
    </row>
    <row r="268" spans="1:8" ht="28.5" customHeight="1" x14ac:dyDescent="0.2">
      <c r="A268" s="51"/>
      <c r="B268" s="68" t="s">
        <v>402</v>
      </c>
      <c r="C268" s="209">
        <v>61</v>
      </c>
      <c r="D268" s="72">
        <v>50</v>
      </c>
      <c r="E268" s="174">
        <f>C268*D268</f>
        <v>3050</v>
      </c>
      <c r="F268" s="73"/>
      <c r="G268" s="52"/>
    </row>
    <row r="269" spans="1:8" ht="28.5" customHeight="1" x14ac:dyDescent="0.2">
      <c r="A269" s="51"/>
      <c r="B269" s="68" t="s">
        <v>403</v>
      </c>
      <c r="C269" s="209">
        <v>67</v>
      </c>
      <c r="D269" s="72">
        <v>50</v>
      </c>
      <c r="E269" s="174">
        <f>C269*D269</f>
        <v>3350</v>
      </c>
      <c r="F269" s="73"/>
      <c r="G269" s="52"/>
    </row>
    <row r="270" spans="1:8" ht="28.5" customHeight="1" x14ac:dyDescent="0.2">
      <c r="A270" s="51"/>
      <c r="B270" s="68" t="s">
        <v>400</v>
      </c>
      <c r="C270" s="209">
        <v>68</v>
      </c>
      <c r="D270" s="72">
        <v>50</v>
      </c>
      <c r="E270" s="174">
        <f>C270*D270</f>
        <v>3400</v>
      </c>
      <c r="F270" s="73"/>
      <c r="G270" s="52"/>
    </row>
    <row r="271" spans="1:8" ht="28.5" customHeight="1" x14ac:dyDescent="0.2">
      <c r="A271" s="51"/>
      <c r="B271" s="68" t="s">
        <v>401</v>
      </c>
      <c r="C271" s="209">
        <v>74</v>
      </c>
      <c r="D271" s="72">
        <v>50</v>
      </c>
      <c r="E271" s="174">
        <f>C271*D271</f>
        <v>3700</v>
      </c>
      <c r="F271" s="73"/>
      <c r="G271" s="52"/>
    </row>
    <row r="272" spans="1:8" ht="28.5" customHeight="1" x14ac:dyDescent="0.2">
      <c r="A272" s="51"/>
      <c r="B272" s="79" t="s">
        <v>754</v>
      </c>
      <c r="C272" s="79"/>
      <c r="D272" s="79"/>
      <c r="E272" s="175">
        <f>SUM(E268:E271)</f>
        <v>13500</v>
      </c>
      <c r="F272" s="73"/>
      <c r="G272" s="52"/>
    </row>
    <row r="273" spans="1:8" ht="28.5" customHeight="1" x14ac:dyDescent="0.2">
      <c r="A273" s="51"/>
      <c r="B273" s="100"/>
      <c r="C273" s="100"/>
      <c r="D273" s="100"/>
      <c r="E273" s="176"/>
      <c r="F273" s="73"/>
      <c r="G273" s="52"/>
    </row>
    <row r="274" spans="1:8" ht="28.5" customHeight="1" x14ac:dyDescent="0.2">
      <c r="A274" s="51"/>
      <c r="B274" s="59" t="s">
        <v>151</v>
      </c>
      <c r="C274" s="100"/>
      <c r="D274" s="100"/>
      <c r="E274" s="176"/>
      <c r="F274" s="73"/>
      <c r="G274" s="177">
        <f>E281</f>
        <v>2700</v>
      </c>
    </row>
    <row r="275" spans="1:8" ht="28.5" customHeight="1" x14ac:dyDescent="0.2">
      <c r="A275" s="51"/>
      <c r="B275" s="51"/>
      <c r="C275" s="51"/>
      <c r="D275" s="51"/>
      <c r="E275" s="51"/>
      <c r="F275" s="51"/>
      <c r="G275" s="53"/>
      <c r="H275" s="51"/>
    </row>
    <row r="276" spans="1:8" ht="28.5" customHeight="1" x14ac:dyDescent="0.2">
      <c r="A276" s="51"/>
      <c r="B276" s="61" t="s">
        <v>249</v>
      </c>
      <c r="C276" s="62" t="s">
        <v>152</v>
      </c>
      <c r="D276" s="62" t="s">
        <v>153</v>
      </c>
      <c r="E276" s="62" t="s">
        <v>371</v>
      </c>
      <c r="F276" s="51"/>
      <c r="G276" s="53"/>
      <c r="H276" s="51"/>
    </row>
    <row r="277" spans="1:8" ht="28.5" customHeight="1" x14ac:dyDescent="0.2">
      <c r="A277" s="51"/>
      <c r="B277" s="68" t="s">
        <v>402</v>
      </c>
      <c r="C277" s="209">
        <v>61</v>
      </c>
      <c r="D277" s="72">
        <v>10</v>
      </c>
      <c r="E277" s="174">
        <f>C277*D277</f>
        <v>610</v>
      </c>
      <c r="F277" s="51"/>
      <c r="G277" s="53"/>
      <c r="H277" s="51"/>
    </row>
    <row r="278" spans="1:8" ht="28.5" customHeight="1" x14ac:dyDescent="0.2">
      <c r="A278" s="51"/>
      <c r="B278" s="68" t="s">
        <v>403</v>
      </c>
      <c r="C278" s="209">
        <v>67</v>
      </c>
      <c r="D278" s="72">
        <v>10</v>
      </c>
      <c r="E278" s="174">
        <f>C278*D278</f>
        <v>670</v>
      </c>
      <c r="F278" s="51"/>
      <c r="G278" s="53"/>
      <c r="H278" s="51"/>
    </row>
    <row r="279" spans="1:8" ht="28.5" customHeight="1" x14ac:dyDescent="0.2">
      <c r="A279" s="51"/>
      <c r="B279" s="68" t="s">
        <v>400</v>
      </c>
      <c r="C279" s="209">
        <v>68</v>
      </c>
      <c r="D279" s="72">
        <v>10</v>
      </c>
      <c r="E279" s="174">
        <f>C279*D279</f>
        <v>680</v>
      </c>
      <c r="F279" s="51"/>
      <c r="G279" s="53"/>
      <c r="H279" s="51"/>
    </row>
    <row r="280" spans="1:8" ht="28.5" customHeight="1" x14ac:dyDescent="0.2">
      <c r="A280" s="51"/>
      <c r="B280" s="68" t="s">
        <v>401</v>
      </c>
      <c r="C280" s="209">
        <v>74</v>
      </c>
      <c r="D280" s="72">
        <v>10</v>
      </c>
      <c r="E280" s="174">
        <f>C280*D280</f>
        <v>740</v>
      </c>
      <c r="F280" s="51"/>
      <c r="G280" s="53"/>
      <c r="H280" s="51"/>
    </row>
    <row r="281" spans="1:8" ht="28.5" customHeight="1" x14ac:dyDescent="0.2">
      <c r="A281" s="51"/>
      <c r="B281" s="79" t="s">
        <v>753</v>
      </c>
      <c r="C281" s="79"/>
      <c r="D281" s="79"/>
      <c r="E281" s="175">
        <f>SUM(E277:E280)</f>
        <v>2700</v>
      </c>
      <c r="F281" s="51"/>
      <c r="G281" s="53"/>
      <c r="H281" s="51"/>
    </row>
    <row r="282" spans="1:8" ht="28.5" customHeight="1" x14ac:dyDescent="0.2">
      <c r="A282" s="51"/>
      <c r="B282" s="51"/>
      <c r="C282" s="51"/>
      <c r="D282" s="51"/>
      <c r="E282" s="51"/>
      <c r="F282" s="51"/>
      <c r="G282" s="53"/>
      <c r="H282" s="51"/>
    </row>
    <row r="283" spans="1:8" ht="28.5" customHeight="1" x14ac:dyDescent="0.2">
      <c r="A283" s="59" t="s">
        <v>155</v>
      </c>
      <c r="B283" s="59" t="s">
        <v>721</v>
      </c>
      <c r="C283" s="59"/>
      <c r="D283" s="59"/>
      <c r="E283" s="59"/>
      <c r="F283" s="73"/>
      <c r="G283" s="178">
        <f>E288</f>
        <v>3550</v>
      </c>
      <c r="H283" s="73"/>
    </row>
    <row r="284" spans="1:8" ht="28.5" customHeight="1" x14ac:dyDescent="0.2">
      <c r="A284" s="51"/>
      <c r="B284" s="51"/>
      <c r="C284" s="51"/>
      <c r="D284" s="51"/>
      <c r="E284" s="51"/>
      <c r="F284" s="73"/>
      <c r="G284" s="73"/>
      <c r="H284" s="73"/>
    </row>
    <row r="285" spans="1:8" ht="28.5" customHeight="1" x14ac:dyDescent="0.2">
      <c r="A285" s="51"/>
      <c r="B285" s="61" t="s">
        <v>249</v>
      </c>
      <c r="C285" s="62" t="s">
        <v>152</v>
      </c>
      <c r="D285" s="62" t="s">
        <v>153</v>
      </c>
      <c r="E285" s="62" t="s">
        <v>371</v>
      </c>
      <c r="F285" s="73"/>
      <c r="G285" s="73"/>
      <c r="H285" s="73"/>
    </row>
    <row r="286" spans="1:8" ht="28.5" customHeight="1" x14ac:dyDescent="0.2">
      <c r="A286" s="51"/>
      <c r="B286" s="68" t="s">
        <v>722</v>
      </c>
      <c r="C286" s="206">
        <v>34</v>
      </c>
      <c r="D286" s="179">
        <f>D270</f>
        <v>50</v>
      </c>
      <c r="E286" s="174">
        <f>C286*D286</f>
        <v>1700</v>
      </c>
      <c r="F286" s="180"/>
      <c r="G286" s="73"/>
      <c r="H286" s="73"/>
    </row>
    <row r="287" spans="1:8" s="51" customFormat="1" ht="28.5" customHeight="1" x14ac:dyDescent="0.2">
      <c r="B287" s="68" t="s">
        <v>723</v>
      </c>
      <c r="C287" s="206">
        <v>37</v>
      </c>
      <c r="D287" s="179">
        <f>D271</f>
        <v>50</v>
      </c>
      <c r="E287" s="174">
        <f>C287*D287</f>
        <v>1850</v>
      </c>
    </row>
    <row r="288" spans="1:8" s="51" customFormat="1" ht="28.5" customHeight="1" x14ac:dyDescent="0.2">
      <c r="B288" s="79" t="s">
        <v>754</v>
      </c>
      <c r="C288" s="124"/>
      <c r="D288" s="79"/>
      <c r="E288" s="181">
        <f>SUM(E286:E287)</f>
        <v>3550</v>
      </c>
    </row>
    <row r="289" spans="1:8" s="51" customFormat="1" ht="28.5" customHeight="1" x14ac:dyDescent="0.2">
      <c r="B289" s="100"/>
      <c r="C289" s="134"/>
      <c r="D289" s="100"/>
      <c r="E289" s="182"/>
    </row>
    <row r="290" spans="1:8" s="51" customFormat="1" ht="28.5" customHeight="1" x14ac:dyDescent="0.2">
      <c r="B290" s="59" t="s">
        <v>721</v>
      </c>
      <c r="C290" s="207"/>
      <c r="D290" s="59"/>
      <c r="E290" s="59"/>
      <c r="G290" s="183">
        <f>E295</f>
        <v>710</v>
      </c>
    </row>
    <row r="291" spans="1:8" s="51" customFormat="1" ht="28.5" customHeight="1" x14ac:dyDescent="0.2">
      <c r="C291" s="208"/>
    </row>
    <row r="292" spans="1:8" s="51" customFormat="1" ht="28.5" customHeight="1" x14ac:dyDescent="0.2">
      <c r="B292" s="61" t="s">
        <v>249</v>
      </c>
      <c r="C292" s="62" t="s">
        <v>152</v>
      </c>
      <c r="D292" s="62" t="s">
        <v>153</v>
      </c>
      <c r="E292" s="62" t="s">
        <v>371</v>
      </c>
    </row>
    <row r="293" spans="1:8" s="51" customFormat="1" ht="28.5" customHeight="1" x14ac:dyDescent="0.2">
      <c r="B293" s="68" t="s">
        <v>722</v>
      </c>
      <c r="C293" s="206">
        <v>34</v>
      </c>
      <c r="D293" s="179">
        <f>D277</f>
        <v>10</v>
      </c>
      <c r="E293" s="174">
        <f>C293*D293</f>
        <v>340</v>
      </c>
    </row>
    <row r="294" spans="1:8" s="51" customFormat="1" ht="28.5" customHeight="1" x14ac:dyDescent="0.2">
      <c r="B294" s="68" t="s">
        <v>723</v>
      </c>
      <c r="C294" s="206">
        <v>37</v>
      </c>
      <c r="D294" s="179">
        <f>D278</f>
        <v>10</v>
      </c>
      <c r="E294" s="174">
        <f>C294*D294</f>
        <v>370</v>
      </c>
    </row>
    <row r="295" spans="1:8" s="51" customFormat="1" ht="28.5" customHeight="1" x14ac:dyDescent="0.2">
      <c r="B295" s="79" t="s">
        <v>753</v>
      </c>
      <c r="C295" s="79"/>
      <c r="D295" s="79"/>
      <c r="E295" s="181">
        <f>SUM(E293:E294)</f>
        <v>710</v>
      </c>
    </row>
    <row r="296" spans="1:8" s="51" customFormat="1" ht="28.5" customHeight="1" x14ac:dyDescent="0.2">
      <c r="B296" s="100"/>
      <c r="C296" s="100"/>
      <c r="D296" s="100"/>
      <c r="E296" s="182"/>
    </row>
    <row r="297" spans="1:8" s="51" customFormat="1" ht="28.5" customHeight="1" x14ac:dyDescent="0.2">
      <c r="B297" s="100"/>
      <c r="C297" s="100"/>
      <c r="D297" s="100"/>
      <c r="E297" s="182"/>
    </row>
    <row r="298" spans="1:8" s="58" customFormat="1" ht="28.5" customHeight="1" x14ac:dyDescent="0.25">
      <c r="A298" s="59" t="s">
        <v>724</v>
      </c>
      <c r="B298" s="59" t="s">
        <v>154</v>
      </c>
      <c r="C298" s="59"/>
      <c r="D298" s="59"/>
      <c r="E298" s="59"/>
      <c r="F298" s="59"/>
      <c r="G298" s="60">
        <f>F301</f>
        <v>0</v>
      </c>
      <c r="H298" s="59"/>
    </row>
    <row r="299" spans="1:8" s="58" customFormat="1" ht="28.5" hidden="1" customHeight="1" x14ac:dyDescent="0.25">
      <c r="A299" s="59"/>
      <c r="B299" s="59"/>
      <c r="C299" s="59"/>
      <c r="D299" s="59"/>
      <c r="E299" s="59"/>
      <c r="F299" s="59"/>
      <c r="G299" s="60"/>
      <c r="H299" s="59"/>
    </row>
    <row r="300" spans="1:8" ht="28.5" hidden="1" customHeight="1" x14ac:dyDescent="0.2">
      <c r="B300" s="97" t="s">
        <v>249</v>
      </c>
      <c r="C300" s="166" t="s">
        <v>404</v>
      </c>
      <c r="D300" s="166" t="s">
        <v>405</v>
      </c>
      <c r="E300" s="166" t="s">
        <v>406</v>
      </c>
      <c r="F300" s="97" t="s">
        <v>5</v>
      </c>
      <c r="G300" s="52"/>
    </row>
    <row r="301" spans="1:8" ht="28.5" hidden="1" customHeight="1" x14ac:dyDescent="0.2">
      <c r="B301" s="63" t="s">
        <v>407</v>
      </c>
      <c r="C301" s="97">
        <v>2</v>
      </c>
      <c r="D301" s="184">
        <f>5000*1.04</f>
        <v>5200</v>
      </c>
      <c r="E301" s="184">
        <v>27.1</v>
      </c>
      <c r="F301" s="184">
        <v>0</v>
      </c>
      <c r="G301" s="185"/>
    </row>
    <row r="302" spans="1:8" ht="18" customHeight="1" x14ac:dyDescent="0.2">
      <c r="A302" s="186"/>
      <c r="B302" s="51"/>
      <c r="C302" s="51"/>
      <c r="D302" s="51"/>
      <c r="E302" s="51"/>
      <c r="F302" s="51"/>
      <c r="G302" s="89"/>
      <c r="H302" s="51"/>
    </row>
    <row r="303" spans="1:8" s="58" customFormat="1" ht="28.5" customHeight="1" x14ac:dyDescent="0.25">
      <c r="A303" s="56" t="s">
        <v>157</v>
      </c>
      <c r="B303" s="226" t="s">
        <v>156</v>
      </c>
      <c r="C303" s="226"/>
      <c r="D303" s="226"/>
      <c r="E303" s="226"/>
      <c r="F303" s="226"/>
      <c r="G303" s="57">
        <f>G305+G309+G310+G311</f>
        <v>241260.6</v>
      </c>
      <c r="H303" s="56"/>
    </row>
    <row r="304" spans="1:8" s="58" customFormat="1" ht="14.25" customHeight="1" x14ac:dyDescent="0.25">
      <c r="A304" s="59"/>
      <c r="B304" s="59"/>
      <c r="C304" s="59"/>
      <c r="D304" s="59"/>
      <c r="E304" s="59"/>
      <c r="F304" s="59"/>
      <c r="G304" s="170"/>
      <c r="H304" s="59"/>
    </row>
    <row r="305" spans="1:8" s="58" customFormat="1" ht="28.5" customHeight="1" x14ac:dyDescent="0.25">
      <c r="A305" s="187" t="s">
        <v>158</v>
      </c>
      <c r="B305" s="59" t="s">
        <v>159</v>
      </c>
      <c r="C305" s="59"/>
      <c r="D305" s="59"/>
      <c r="E305" s="59"/>
      <c r="F305" s="59"/>
      <c r="G305" s="60">
        <f>F307</f>
        <v>199206</v>
      </c>
      <c r="H305" s="59"/>
    </row>
    <row r="306" spans="1:8" ht="69" customHeight="1" x14ac:dyDescent="0.2">
      <c r="A306" s="51"/>
      <c r="B306" s="61" t="s">
        <v>249</v>
      </c>
      <c r="C306" s="62" t="s">
        <v>763</v>
      </c>
      <c r="D306" s="62" t="s">
        <v>442</v>
      </c>
      <c r="E306" s="62" t="s">
        <v>362</v>
      </c>
      <c r="F306" s="61" t="s">
        <v>4</v>
      </c>
      <c r="G306" s="53"/>
      <c r="H306" s="51"/>
    </row>
    <row r="307" spans="1:8" ht="48.75" customHeight="1" x14ac:dyDescent="0.2">
      <c r="A307" s="51"/>
      <c r="B307" s="78" t="s">
        <v>755</v>
      </c>
      <c r="C307" s="112">
        <f>F307/4</f>
        <v>49801.5</v>
      </c>
      <c r="D307" s="188">
        <v>1.05</v>
      </c>
      <c r="E307" s="61">
        <v>4</v>
      </c>
      <c r="F307" s="70">
        <f>180000*1.05*1.054</f>
        <v>199206</v>
      </c>
      <c r="G307" s="53"/>
      <c r="H307" s="51"/>
    </row>
    <row r="308" spans="1:8" ht="28.5" customHeight="1" x14ac:dyDescent="0.2">
      <c r="A308" s="186"/>
      <c r="B308" s="51"/>
      <c r="C308" s="51"/>
      <c r="D308" s="51"/>
      <c r="E308" s="51"/>
      <c r="F308" s="51"/>
      <c r="G308" s="89"/>
      <c r="H308" s="51"/>
    </row>
    <row r="309" spans="1:8" s="58" customFormat="1" ht="28.5" customHeight="1" x14ac:dyDescent="0.25">
      <c r="A309" s="187" t="s">
        <v>161</v>
      </c>
      <c r="B309" s="59" t="s">
        <v>160</v>
      </c>
      <c r="C309" s="59"/>
      <c r="D309" s="59"/>
      <c r="E309" s="59"/>
      <c r="F309" s="59"/>
      <c r="G309" s="60">
        <v>0</v>
      </c>
      <c r="H309" s="59"/>
    </row>
    <row r="310" spans="1:8" s="58" customFormat="1" ht="28.5" customHeight="1" x14ac:dyDescent="0.25">
      <c r="A310" s="187" t="s">
        <v>162</v>
      </c>
      <c r="B310" s="59" t="s">
        <v>163</v>
      </c>
      <c r="C310" s="59"/>
      <c r="D310" s="59"/>
      <c r="E310" s="59"/>
      <c r="F310" s="59"/>
      <c r="G310" s="60">
        <v>0</v>
      </c>
      <c r="H310" s="59"/>
    </row>
    <row r="311" spans="1:8" s="58" customFormat="1" ht="28.5" customHeight="1" x14ac:dyDescent="0.25">
      <c r="A311" s="187" t="s">
        <v>747</v>
      </c>
      <c r="B311" s="59" t="s">
        <v>748</v>
      </c>
      <c r="C311" s="59"/>
      <c r="D311" s="59"/>
      <c r="E311" s="59"/>
      <c r="F311" s="59"/>
      <c r="G311" s="60">
        <f>F314</f>
        <v>42054.6</v>
      </c>
      <c r="H311" s="59"/>
    </row>
    <row r="312" spans="1:8" s="58" customFormat="1" ht="18.75" customHeight="1" x14ac:dyDescent="0.25">
      <c r="A312" s="187"/>
      <c r="B312" s="59"/>
      <c r="C312" s="59"/>
      <c r="D312" s="59"/>
      <c r="E312" s="59"/>
      <c r="F312" s="59"/>
      <c r="G312" s="60"/>
      <c r="H312" s="59"/>
    </row>
    <row r="313" spans="1:8" s="58" customFormat="1" ht="81" customHeight="1" x14ac:dyDescent="0.2">
      <c r="A313" s="186"/>
      <c r="B313" s="61" t="s">
        <v>249</v>
      </c>
      <c r="C313" s="62" t="s">
        <v>763</v>
      </c>
      <c r="D313" s="62" t="s">
        <v>442</v>
      </c>
      <c r="E313" s="62" t="s">
        <v>362</v>
      </c>
      <c r="F313" s="61" t="s">
        <v>4</v>
      </c>
      <c r="G313" s="89"/>
      <c r="H313" s="51"/>
    </row>
    <row r="314" spans="1:8" s="58" customFormat="1" ht="45" customHeight="1" x14ac:dyDescent="0.2">
      <c r="A314" s="186"/>
      <c r="B314" s="78" t="s">
        <v>756</v>
      </c>
      <c r="C314" s="112">
        <f>F314/4</f>
        <v>10513.65</v>
      </c>
      <c r="D314" s="188">
        <v>1.05</v>
      </c>
      <c r="E314" s="61">
        <v>4</v>
      </c>
      <c r="F314" s="70">
        <f>38000*1.05*1.054</f>
        <v>42054.6</v>
      </c>
      <c r="G314" s="89"/>
      <c r="H314" s="51"/>
    </row>
    <row r="315" spans="1:8" s="58" customFormat="1" ht="28.5" customHeight="1" x14ac:dyDescent="0.25">
      <c r="A315" s="187"/>
      <c r="B315" s="59"/>
      <c r="C315" s="59"/>
      <c r="D315" s="59"/>
      <c r="E315" s="59"/>
      <c r="F315" s="59"/>
      <c r="G315" s="60"/>
      <c r="H315" s="59"/>
    </row>
    <row r="316" spans="1:8" s="58" customFormat="1" ht="28.5" customHeight="1" x14ac:dyDescent="0.25">
      <c r="A316" s="187"/>
      <c r="B316" s="59"/>
      <c r="C316" s="59"/>
      <c r="D316" s="59"/>
      <c r="E316" s="59"/>
      <c r="F316" s="59"/>
      <c r="G316" s="60"/>
      <c r="H316" s="59"/>
    </row>
    <row r="317" spans="1:8" s="58" customFormat="1" ht="28.5" customHeight="1" x14ac:dyDescent="0.25">
      <c r="A317" s="56" t="s">
        <v>164</v>
      </c>
      <c r="B317" s="226" t="s">
        <v>165</v>
      </c>
      <c r="C317" s="226"/>
      <c r="D317" s="226"/>
      <c r="E317" s="226"/>
      <c r="F317" s="226"/>
      <c r="G317" s="57">
        <f>G319+G355+G361+G367</f>
        <v>833637.69200000016</v>
      </c>
      <c r="H317" s="56"/>
    </row>
    <row r="318" spans="1:8" s="58" customFormat="1" ht="28.5" customHeight="1" x14ac:dyDescent="0.25">
      <c r="A318" s="56"/>
      <c r="B318" s="171"/>
      <c r="C318" s="171"/>
      <c r="D318" s="171"/>
      <c r="E318" s="171"/>
      <c r="F318" s="171"/>
      <c r="G318" s="57"/>
      <c r="H318" s="56"/>
    </row>
    <row r="319" spans="1:8" s="58" customFormat="1" ht="28.5" customHeight="1" x14ac:dyDescent="0.25">
      <c r="A319" s="187" t="s">
        <v>166</v>
      </c>
      <c r="B319" s="59" t="s">
        <v>167</v>
      </c>
      <c r="C319" s="59"/>
      <c r="D319" s="59"/>
      <c r="E319" s="59"/>
      <c r="F319" s="59"/>
      <c r="G319" s="60">
        <f>G320+G327+G334++G343+G355+G361+G367</f>
        <v>605535.13000000012</v>
      </c>
      <c r="H319" s="59"/>
    </row>
    <row r="320" spans="1:8" s="58" customFormat="1" ht="28.5" customHeight="1" x14ac:dyDescent="0.25">
      <c r="A320" s="187" t="s">
        <v>168</v>
      </c>
      <c r="B320" s="59" t="s">
        <v>169</v>
      </c>
      <c r="C320" s="59"/>
      <c r="D320" s="59"/>
      <c r="E320" s="59"/>
      <c r="F320" s="59"/>
      <c r="G320" s="60">
        <f>F325</f>
        <v>134918.78400000001</v>
      </c>
      <c r="H320" s="59"/>
    </row>
    <row r="321" spans="1:8" ht="28.5" customHeight="1" x14ac:dyDescent="0.2">
      <c r="A321" s="186"/>
      <c r="B321" s="51"/>
      <c r="C321" s="51"/>
      <c r="D321" s="51"/>
      <c r="E321" s="51"/>
      <c r="F321" s="51"/>
      <c r="G321" s="89"/>
      <c r="H321" s="51"/>
    </row>
    <row r="322" spans="1:8" ht="104.25" customHeight="1" x14ac:dyDescent="0.2">
      <c r="A322" s="51"/>
      <c r="B322" s="61" t="s">
        <v>249</v>
      </c>
      <c r="C322" s="62" t="s">
        <v>170</v>
      </c>
      <c r="D322" s="62" t="s">
        <v>171</v>
      </c>
      <c r="E322" s="62" t="s">
        <v>172</v>
      </c>
      <c r="F322" s="61" t="s">
        <v>5</v>
      </c>
      <c r="G322" s="53"/>
      <c r="H322" s="51"/>
    </row>
    <row r="323" spans="1:8" ht="28.5" customHeight="1" x14ac:dyDescent="0.2">
      <c r="A323" s="51"/>
      <c r="B323" s="78" t="s">
        <v>369</v>
      </c>
      <c r="C323" s="124">
        <v>146.1</v>
      </c>
      <c r="D323" s="108">
        <f>10210.2*1.04</f>
        <v>10618.608000000002</v>
      </c>
      <c r="E323" s="108">
        <v>6</v>
      </c>
      <c r="F323" s="108">
        <f>D323*E323</f>
        <v>63711.648000000016</v>
      </c>
      <c r="G323" s="66"/>
      <c r="H323" s="51"/>
    </row>
    <row r="324" spans="1:8" ht="28.5" customHeight="1" x14ac:dyDescent="0.2">
      <c r="A324" s="51"/>
      <c r="B324" s="78" t="s">
        <v>370</v>
      </c>
      <c r="C324" s="124">
        <v>146.1</v>
      </c>
      <c r="D324" s="108">
        <f>11411.4*1.04</f>
        <v>11867.856</v>
      </c>
      <c r="E324" s="108">
        <v>6</v>
      </c>
      <c r="F324" s="108">
        <f>D324*E324</f>
        <v>71207.135999999999</v>
      </c>
      <c r="G324" s="66"/>
      <c r="H324" s="51"/>
    </row>
    <row r="325" spans="1:8" ht="28.5" customHeight="1" x14ac:dyDescent="0.2">
      <c r="A325" s="186"/>
      <c r="B325" s="79" t="s">
        <v>754</v>
      </c>
      <c r="C325" s="140"/>
      <c r="D325" s="140"/>
      <c r="E325" s="140"/>
      <c r="F325" s="109">
        <f>SUM(F323:F324)</f>
        <v>134918.78400000001</v>
      </c>
      <c r="G325" s="89"/>
      <c r="H325" s="51"/>
    </row>
    <row r="326" spans="1:8" ht="28.5" customHeight="1" x14ac:dyDescent="0.2">
      <c r="A326" s="186"/>
      <c r="B326" s="189"/>
      <c r="C326" s="189"/>
      <c r="D326" s="189"/>
      <c r="E326" s="189"/>
      <c r="F326" s="101"/>
      <c r="G326" s="89"/>
      <c r="H326" s="51"/>
    </row>
    <row r="327" spans="1:8" ht="28.5" customHeight="1" x14ac:dyDescent="0.2">
      <c r="A327" s="186"/>
      <c r="B327" s="59" t="s">
        <v>169</v>
      </c>
      <c r="C327" s="59"/>
      <c r="D327" s="59"/>
      <c r="E327" s="59"/>
      <c r="F327" s="59"/>
      <c r="G327" s="60">
        <f>F332</f>
        <v>134918.78400000004</v>
      </c>
      <c r="H327" s="51"/>
    </row>
    <row r="328" spans="1:8" ht="28.5" customHeight="1" x14ac:dyDescent="0.2">
      <c r="A328" s="186"/>
      <c r="B328" s="51"/>
      <c r="C328" s="51"/>
      <c r="D328" s="51"/>
      <c r="E328" s="51"/>
      <c r="F328" s="51"/>
      <c r="G328" s="89"/>
      <c r="H328" s="51"/>
    </row>
    <row r="329" spans="1:8" ht="102" customHeight="1" x14ac:dyDescent="0.2">
      <c r="A329" s="186"/>
      <c r="B329" s="61" t="s">
        <v>249</v>
      </c>
      <c r="C329" s="62" t="s">
        <v>170</v>
      </c>
      <c r="D329" s="62" t="s">
        <v>171</v>
      </c>
      <c r="E329" s="62" t="s">
        <v>172</v>
      </c>
      <c r="F329" s="61" t="s">
        <v>5</v>
      </c>
      <c r="G329" s="89"/>
      <c r="H329" s="51"/>
    </row>
    <row r="330" spans="1:8" ht="28.5" customHeight="1" x14ac:dyDescent="0.2">
      <c r="A330" s="186"/>
      <c r="B330" s="78" t="s">
        <v>369</v>
      </c>
      <c r="C330" s="124">
        <v>28</v>
      </c>
      <c r="D330" s="108">
        <f>8840*1.05*1.1*1.04</f>
        <v>10618.608000000002</v>
      </c>
      <c r="E330" s="108">
        <v>6</v>
      </c>
      <c r="F330" s="108">
        <f>D330*E330</f>
        <v>63711.648000000016</v>
      </c>
      <c r="G330" s="89"/>
      <c r="H330" s="51"/>
    </row>
    <row r="331" spans="1:8" ht="28.5" customHeight="1" x14ac:dyDescent="0.2">
      <c r="A331" s="186"/>
      <c r="B331" s="78" t="s">
        <v>370</v>
      </c>
      <c r="C331" s="124">
        <v>28</v>
      </c>
      <c r="D331" s="108">
        <f>9880*1.05*1.1*1.04</f>
        <v>11867.856000000002</v>
      </c>
      <c r="E331" s="108">
        <v>6</v>
      </c>
      <c r="F331" s="108">
        <f>D331*E331</f>
        <v>71207.136000000013</v>
      </c>
      <c r="G331" s="89"/>
      <c r="H331" s="51"/>
    </row>
    <row r="332" spans="1:8" ht="28.5" customHeight="1" x14ac:dyDescent="0.2">
      <c r="A332" s="186"/>
      <c r="B332" s="79" t="s">
        <v>753</v>
      </c>
      <c r="C332" s="140"/>
      <c r="D332" s="140"/>
      <c r="E332" s="140"/>
      <c r="F332" s="109">
        <f>SUM(F330:F331)</f>
        <v>134918.78400000004</v>
      </c>
      <c r="G332" s="89"/>
      <c r="H332" s="51"/>
    </row>
    <row r="333" spans="1:8" ht="28.5" customHeight="1" x14ac:dyDescent="0.2">
      <c r="A333" s="186"/>
      <c r="B333" s="51"/>
      <c r="C333" s="51"/>
      <c r="D333" s="51"/>
      <c r="E333" s="51"/>
      <c r="F333" s="51"/>
      <c r="G333" s="89"/>
      <c r="H333" s="51"/>
    </row>
    <row r="334" spans="1:8" s="58" customFormat="1" ht="28.5" customHeight="1" x14ac:dyDescent="0.25">
      <c r="A334" s="187" t="s">
        <v>173</v>
      </c>
      <c r="B334" s="233" t="s">
        <v>174</v>
      </c>
      <c r="C334" s="233"/>
      <c r="D334" s="233"/>
      <c r="E334" s="233"/>
      <c r="F334" s="233"/>
      <c r="G334" s="60">
        <f>E336</f>
        <v>85995</v>
      </c>
      <c r="H334" s="59"/>
    </row>
    <row r="335" spans="1:8" ht="55.5" customHeight="1" x14ac:dyDescent="0.2">
      <c r="A335" s="102"/>
      <c r="B335" s="64"/>
      <c r="C335" s="63" t="s">
        <v>610</v>
      </c>
      <c r="D335" s="63" t="s">
        <v>409</v>
      </c>
      <c r="E335" s="64" t="s">
        <v>4</v>
      </c>
      <c r="F335" s="102"/>
      <c r="G335" s="102"/>
      <c r="H335" s="102"/>
    </row>
    <row r="336" spans="1:8" ht="28.5" customHeight="1" x14ac:dyDescent="0.2">
      <c r="A336" s="102"/>
      <c r="B336" s="63" t="s">
        <v>757</v>
      </c>
      <c r="C336" s="64">
        <v>1</v>
      </c>
      <c r="D336" s="65">
        <f>75000*1.04*1.05*1.05</f>
        <v>85995</v>
      </c>
      <c r="E336" s="65">
        <f>C336*D336</f>
        <v>85995</v>
      </c>
      <c r="F336" s="236"/>
      <c r="G336" s="237"/>
      <c r="H336" s="237"/>
    </row>
    <row r="337" spans="1:8" s="58" customFormat="1" ht="28.5" customHeight="1" x14ac:dyDescent="0.25">
      <c r="A337" s="187" t="s">
        <v>177</v>
      </c>
      <c r="B337" s="59" t="s">
        <v>175</v>
      </c>
      <c r="C337" s="59"/>
      <c r="D337" s="59"/>
      <c r="E337" s="59"/>
      <c r="F337" s="59"/>
      <c r="G337" s="60">
        <v>0</v>
      </c>
      <c r="H337" s="59"/>
    </row>
    <row r="338" spans="1:8" s="58" customFormat="1" ht="28.5" customHeight="1" x14ac:dyDescent="0.25">
      <c r="A338" s="187"/>
      <c r="B338" s="56" t="s">
        <v>176</v>
      </c>
      <c r="C338" s="59"/>
      <c r="D338" s="59"/>
      <c r="E338" s="59"/>
      <c r="F338" s="59"/>
      <c r="G338" s="60"/>
      <c r="H338" s="59"/>
    </row>
    <row r="339" spans="1:8" s="58" customFormat="1" ht="28.5" customHeight="1" x14ac:dyDescent="0.25">
      <c r="A339" s="187" t="s">
        <v>179</v>
      </c>
      <c r="B339" s="59" t="s">
        <v>178</v>
      </c>
      <c r="C339" s="59"/>
      <c r="D339" s="59"/>
      <c r="E339" s="59"/>
      <c r="F339" s="59"/>
      <c r="G339" s="60">
        <v>0</v>
      </c>
      <c r="H339" s="59"/>
    </row>
    <row r="340" spans="1:8" s="58" customFormat="1" ht="28.5" customHeight="1" x14ac:dyDescent="0.25">
      <c r="A340" s="187"/>
      <c r="B340" s="56" t="s">
        <v>176</v>
      </c>
      <c r="C340" s="59"/>
      <c r="D340" s="59"/>
      <c r="E340" s="59"/>
      <c r="F340" s="59"/>
      <c r="G340" s="60"/>
      <c r="H340" s="59"/>
    </row>
    <row r="341" spans="1:8" s="58" customFormat="1" ht="28.5" customHeight="1" x14ac:dyDescent="0.25">
      <c r="A341" s="187" t="s">
        <v>180</v>
      </c>
      <c r="B341" s="59" t="s">
        <v>181</v>
      </c>
      <c r="C341" s="59"/>
      <c r="D341" s="59"/>
      <c r="E341" s="59"/>
      <c r="F341" s="59"/>
      <c r="G341" s="60">
        <v>0</v>
      </c>
      <c r="H341" s="59"/>
    </row>
    <row r="342" spans="1:8" s="58" customFormat="1" ht="28.5" customHeight="1" x14ac:dyDescent="0.25">
      <c r="A342" s="187"/>
      <c r="B342" s="56" t="s">
        <v>176</v>
      </c>
      <c r="C342" s="59"/>
      <c r="D342" s="59"/>
      <c r="E342" s="59"/>
      <c r="F342" s="59"/>
      <c r="G342" s="60"/>
      <c r="H342" s="59"/>
    </row>
    <row r="343" spans="1:8" s="58" customFormat="1" ht="28.5" customHeight="1" x14ac:dyDescent="0.25">
      <c r="A343" s="187" t="s">
        <v>185</v>
      </c>
      <c r="B343" s="59" t="s">
        <v>182</v>
      </c>
      <c r="C343" s="59"/>
      <c r="D343" s="59"/>
      <c r="E343" s="59"/>
      <c r="F343" s="59"/>
      <c r="G343" s="60">
        <f>E348</f>
        <v>21600</v>
      </c>
      <c r="H343" s="59"/>
    </row>
    <row r="344" spans="1:8" ht="19.5" customHeight="1" x14ac:dyDescent="0.2">
      <c r="A344" s="186"/>
      <c r="B344" s="51"/>
      <c r="C344" s="51"/>
      <c r="D344" s="51"/>
      <c r="E344" s="51"/>
      <c r="F344" s="51"/>
      <c r="G344" s="89"/>
      <c r="H344" s="51"/>
    </row>
    <row r="345" spans="1:8" ht="60" customHeight="1" x14ac:dyDescent="0.2">
      <c r="A345" s="51"/>
      <c r="B345" s="61" t="s">
        <v>249</v>
      </c>
      <c r="C345" s="62" t="s">
        <v>183</v>
      </c>
      <c r="D345" s="62" t="s">
        <v>184</v>
      </c>
      <c r="E345" s="61" t="s">
        <v>4</v>
      </c>
      <c r="F345" s="51"/>
      <c r="G345" s="53"/>
      <c r="H345" s="51"/>
    </row>
    <row r="346" spans="1:8" ht="45" customHeight="1" x14ac:dyDescent="0.2">
      <c r="A346" s="51"/>
      <c r="B346" s="74" t="s">
        <v>759</v>
      </c>
      <c r="C346" s="97">
        <v>7.5</v>
      </c>
      <c r="D346" s="76">
        <v>1800</v>
      </c>
      <c r="E346" s="76">
        <f>C346*D346</f>
        <v>13500</v>
      </c>
      <c r="F346" s="113"/>
      <c r="G346" s="53"/>
      <c r="H346" s="51"/>
    </row>
    <row r="347" spans="1:8" ht="28.5" customHeight="1" x14ac:dyDescent="0.2">
      <c r="A347" s="51"/>
      <c r="B347" s="74" t="s">
        <v>758</v>
      </c>
      <c r="C347" s="97">
        <v>4.5</v>
      </c>
      <c r="D347" s="76">
        <v>1800</v>
      </c>
      <c r="E347" s="76">
        <f>C347*D347</f>
        <v>8100</v>
      </c>
      <c r="F347" s="73"/>
      <c r="G347" s="53"/>
      <c r="H347" s="51"/>
    </row>
    <row r="348" spans="1:8" ht="28.5" customHeight="1" x14ac:dyDescent="0.2">
      <c r="A348" s="51"/>
      <c r="B348" s="79" t="s">
        <v>5</v>
      </c>
      <c r="C348" s="79"/>
      <c r="D348" s="79"/>
      <c r="E348" s="109">
        <f>SUM(E346:E347)</f>
        <v>21600</v>
      </c>
      <c r="F348" s="51"/>
      <c r="G348" s="53"/>
      <c r="H348" s="51"/>
    </row>
    <row r="349" spans="1:8" ht="28.5" customHeight="1" x14ac:dyDescent="0.2">
      <c r="A349" s="186"/>
      <c r="B349" s="51"/>
      <c r="C349" s="51"/>
      <c r="D349" s="51"/>
      <c r="E349" s="51"/>
      <c r="F349" s="51"/>
      <c r="G349" s="89"/>
      <c r="H349" s="51"/>
    </row>
    <row r="350" spans="1:8" s="58" customFormat="1" ht="28.5" customHeight="1" x14ac:dyDescent="0.25">
      <c r="A350" s="187" t="s">
        <v>186</v>
      </c>
      <c r="B350" s="59" t="s">
        <v>187</v>
      </c>
      <c r="C350" s="59"/>
      <c r="D350" s="59"/>
      <c r="E350" s="59"/>
      <c r="F350" s="59"/>
      <c r="G350" s="60">
        <v>0</v>
      </c>
      <c r="H350" s="59"/>
    </row>
    <row r="351" spans="1:8" s="58" customFormat="1" ht="28.5" customHeight="1" x14ac:dyDescent="0.25">
      <c r="A351" s="187" t="s">
        <v>188</v>
      </c>
      <c r="B351" s="230" t="s">
        <v>189</v>
      </c>
      <c r="C351" s="230"/>
      <c r="D351" s="230"/>
      <c r="E351" s="230"/>
      <c r="F351" s="230"/>
      <c r="G351" s="60">
        <v>0</v>
      </c>
      <c r="H351" s="59"/>
    </row>
    <row r="352" spans="1:8" s="58" customFormat="1" ht="28.5" customHeight="1" x14ac:dyDescent="0.25">
      <c r="A352" s="187" t="s">
        <v>190</v>
      </c>
      <c r="B352" s="230" t="s">
        <v>191</v>
      </c>
      <c r="C352" s="230"/>
      <c r="D352" s="230"/>
      <c r="E352" s="230"/>
      <c r="F352" s="230"/>
      <c r="G352" s="60">
        <v>0</v>
      </c>
      <c r="H352" s="59"/>
    </row>
    <row r="353" spans="1:8" s="58" customFormat="1" ht="28.5" customHeight="1" x14ac:dyDescent="0.25">
      <c r="A353" s="187" t="s">
        <v>192</v>
      </c>
      <c r="B353" s="230" t="s">
        <v>193</v>
      </c>
      <c r="C353" s="230"/>
      <c r="D353" s="230"/>
      <c r="E353" s="230"/>
      <c r="F353" s="230"/>
      <c r="G353" s="60">
        <v>0</v>
      </c>
      <c r="H353" s="59"/>
    </row>
    <row r="354" spans="1:8" s="58" customFormat="1" ht="28.5" customHeight="1" x14ac:dyDescent="0.25">
      <c r="A354" s="187" t="s">
        <v>194</v>
      </c>
      <c r="B354" s="230" t="s">
        <v>195</v>
      </c>
      <c r="C354" s="230"/>
      <c r="D354" s="230"/>
      <c r="E354" s="230"/>
      <c r="F354" s="230"/>
      <c r="G354" s="60">
        <v>0</v>
      </c>
      <c r="H354" s="59"/>
    </row>
    <row r="355" spans="1:8" s="58" customFormat="1" ht="28.5" customHeight="1" x14ac:dyDescent="0.25">
      <c r="A355" s="187" t="s">
        <v>196</v>
      </c>
      <c r="B355" s="59" t="s">
        <v>197</v>
      </c>
      <c r="C355" s="59"/>
      <c r="D355" s="59"/>
      <c r="E355" s="59"/>
      <c r="F355" s="59"/>
      <c r="G355" s="60">
        <f>E360</f>
        <v>184756.67200000002</v>
      </c>
      <c r="H355" s="59"/>
    </row>
    <row r="356" spans="1:8" s="58" customFormat="1" ht="14.25" customHeight="1" x14ac:dyDescent="0.25">
      <c r="A356" s="187"/>
      <c r="B356" s="59"/>
      <c r="C356" s="59"/>
      <c r="D356" s="59"/>
      <c r="E356" s="59"/>
      <c r="F356" s="59"/>
      <c r="G356" s="60"/>
      <c r="H356" s="59"/>
    </row>
    <row r="357" spans="1:8" s="58" customFormat="1" ht="39.6" customHeight="1" x14ac:dyDescent="0.2">
      <c r="A357" s="51"/>
      <c r="B357" s="79"/>
      <c r="C357" s="78" t="s">
        <v>726</v>
      </c>
      <c r="D357" s="78" t="s">
        <v>199</v>
      </c>
      <c r="E357" s="79" t="s">
        <v>4</v>
      </c>
      <c r="F357" s="59"/>
      <c r="G357" s="60"/>
      <c r="H357" s="59"/>
    </row>
    <row r="358" spans="1:8" s="58" customFormat="1" ht="28.5" customHeight="1" x14ac:dyDescent="0.2">
      <c r="A358" s="51"/>
      <c r="B358" s="78" t="s">
        <v>743</v>
      </c>
      <c r="C358" s="108">
        <v>80720.639999999999</v>
      </c>
      <c r="D358" s="108">
        <v>1.05</v>
      </c>
      <c r="E358" s="108">
        <f>C358*D358</f>
        <v>84756.672000000006</v>
      </c>
      <c r="F358" s="59"/>
      <c r="G358" s="60"/>
      <c r="H358" s="59"/>
    </row>
    <row r="359" spans="1:8" s="58" customFormat="1" ht="28.5" customHeight="1" x14ac:dyDescent="0.2">
      <c r="A359" s="51"/>
      <c r="B359" s="78" t="s">
        <v>802</v>
      </c>
      <c r="C359" s="108">
        <v>100000</v>
      </c>
      <c r="D359" s="108">
        <v>1</v>
      </c>
      <c r="E359" s="108">
        <f>C359*D359</f>
        <v>100000</v>
      </c>
      <c r="F359" s="59"/>
      <c r="G359" s="60"/>
      <c r="H359" s="59"/>
    </row>
    <row r="360" spans="1:8" s="58" customFormat="1" ht="28.5" customHeight="1" x14ac:dyDescent="0.2">
      <c r="A360" s="51"/>
      <c r="B360" s="79" t="s">
        <v>5</v>
      </c>
      <c r="C360" s="79"/>
      <c r="D360" s="79"/>
      <c r="E360" s="109">
        <f>E358+E359</f>
        <v>184756.67200000002</v>
      </c>
      <c r="F360" s="59"/>
      <c r="G360" s="60"/>
      <c r="H360" s="59"/>
    </row>
    <row r="361" spans="1:8" s="58" customFormat="1" ht="28.5" customHeight="1" x14ac:dyDescent="0.25">
      <c r="A361" s="187" t="s">
        <v>200</v>
      </c>
      <c r="B361" s="59" t="s">
        <v>201</v>
      </c>
      <c r="C361" s="59"/>
      <c r="D361" s="59"/>
      <c r="E361" s="59"/>
      <c r="F361" s="59"/>
      <c r="G361" s="60">
        <f>E365</f>
        <v>11924.64</v>
      </c>
      <c r="H361" s="59"/>
    </row>
    <row r="362" spans="1:8" ht="11.25" customHeight="1" x14ac:dyDescent="0.2">
      <c r="A362" s="186"/>
      <c r="B362" s="51"/>
      <c r="C362" s="51"/>
      <c r="D362" s="51"/>
      <c r="E362" s="51"/>
      <c r="F362" s="51"/>
      <c r="G362" s="89"/>
      <c r="H362" s="51"/>
    </row>
    <row r="363" spans="1:8" ht="66" customHeight="1" x14ac:dyDescent="0.2">
      <c r="A363" s="51"/>
      <c r="B363" s="61" t="s">
        <v>249</v>
      </c>
      <c r="C363" s="62" t="s">
        <v>198</v>
      </c>
      <c r="D363" s="62" t="s">
        <v>199</v>
      </c>
      <c r="E363" s="61" t="s">
        <v>4</v>
      </c>
      <c r="F363" s="51"/>
      <c r="G363" s="53"/>
      <c r="H363" s="51"/>
    </row>
    <row r="364" spans="1:8" ht="28.5" customHeight="1" x14ac:dyDescent="0.2">
      <c r="A364" s="51"/>
      <c r="B364" s="63" t="s">
        <v>202</v>
      </c>
      <c r="C364" s="65">
        <v>11356.8</v>
      </c>
      <c r="D364" s="190">
        <v>1.05</v>
      </c>
      <c r="E364" s="65">
        <f>C364*D364</f>
        <v>11924.64</v>
      </c>
      <c r="F364" s="191"/>
      <c r="G364" s="66"/>
      <c r="H364" s="99"/>
    </row>
    <row r="365" spans="1:8" ht="28.5" customHeight="1" x14ac:dyDescent="0.2">
      <c r="A365" s="51"/>
      <c r="B365" s="79" t="s">
        <v>5</v>
      </c>
      <c r="C365" s="79"/>
      <c r="D365" s="79"/>
      <c r="E365" s="109">
        <f>SUM(E364:E364)</f>
        <v>11924.64</v>
      </c>
      <c r="F365" s="191"/>
      <c r="G365" s="66"/>
      <c r="H365" s="99"/>
    </row>
    <row r="366" spans="1:8" ht="19.5" customHeight="1" x14ac:dyDescent="0.2">
      <c r="A366" s="186"/>
      <c r="B366" s="51"/>
      <c r="C366" s="51"/>
      <c r="D366" s="51"/>
      <c r="E366" s="51"/>
      <c r="F366" s="51"/>
      <c r="G366" s="89"/>
      <c r="H366" s="51"/>
    </row>
    <row r="367" spans="1:8" s="58" customFormat="1" ht="28.5" customHeight="1" x14ac:dyDescent="0.25">
      <c r="A367" s="187" t="s">
        <v>203</v>
      </c>
      <c r="B367" s="59" t="s">
        <v>204</v>
      </c>
      <c r="C367" s="59"/>
      <c r="D367" s="59"/>
      <c r="E367" s="59"/>
      <c r="F367" s="59"/>
      <c r="G367" s="60">
        <f>G368+G369+G370+G372+G378+G379+G380</f>
        <v>31421.25</v>
      </c>
      <c r="H367" s="59"/>
    </row>
    <row r="368" spans="1:8" ht="28.5" customHeight="1" x14ac:dyDescent="0.2">
      <c r="A368" s="186" t="s">
        <v>205</v>
      </c>
      <c r="B368" s="229" t="s">
        <v>206</v>
      </c>
      <c r="C368" s="229"/>
      <c r="D368" s="229"/>
      <c r="E368" s="229"/>
      <c r="F368" s="229"/>
      <c r="G368" s="89">
        <v>0</v>
      </c>
      <c r="H368" s="51"/>
    </row>
    <row r="369" spans="1:8" ht="28.5" customHeight="1" x14ac:dyDescent="0.2">
      <c r="A369" s="186" t="s">
        <v>207</v>
      </c>
      <c r="B369" s="229" t="s">
        <v>208</v>
      </c>
      <c r="C369" s="229"/>
      <c r="D369" s="229"/>
      <c r="E369" s="229"/>
      <c r="F369" s="229"/>
      <c r="G369" s="89">
        <v>0</v>
      </c>
      <c r="H369" s="51"/>
    </row>
    <row r="370" spans="1:8" ht="28.5" customHeight="1" x14ac:dyDescent="0.2">
      <c r="A370" s="186" t="s">
        <v>209</v>
      </c>
      <c r="B370" s="229" t="s">
        <v>210</v>
      </c>
      <c r="C370" s="229"/>
      <c r="D370" s="229"/>
      <c r="E370" s="229"/>
      <c r="F370" s="229"/>
      <c r="G370" s="89">
        <v>0</v>
      </c>
      <c r="H370" s="51"/>
    </row>
    <row r="371" spans="1:8" ht="15.75" customHeight="1" x14ac:dyDescent="0.2">
      <c r="A371" s="186"/>
      <c r="B371" s="121"/>
      <c r="C371" s="121"/>
      <c r="D371" s="121"/>
      <c r="E371" s="121"/>
      <c r="F371" s="121"/>
      <c r="G371" s="89"/>
      <c r="H371" s="51"/>
    </row>
    <row r="372" spans="1:8" ht="28.5" customHeight="1" x14ac:dyDescent="0.2">
      <c r="A372" s="186" t="s">
        <v>212</v>
      </c>
      <c r="B372" s="225" t="s">
        <v>211</v>
      </c>
      <c r="C372" s="225"/>
      <c r="D372" s="225"/>
      <c r="E372" s="225"/>
      <c r="F372" s="225"/>
      <c r="G372" s="89">
        <f>E376</f>
        <v>31421.25</v>
      </c>
      <c r="H372" s="51"/>
    </row>
    <row r="373" spans="1:8" ht="15" customHeight="1" x14ac:dyDescent="0.2">
      <c r="A373" s="186"/>
      <c r="B373" s="192"/>
      <c r="C373" s="192"/>
      <c r="D373" s="192"/>
      <c r="E373" s="192"/>
      <c r="F373" s="192"/>
      <c r="G373" s="89"/>
      <c r="H373" s="51"/>
    </row>
    <row r="374" spans="1:8" ht="28.5" customHeight="1" x14ac:dyDescent="0.2">
      <c r="B374" s="97" t="s">
        <v>249</v>
      </c>
      <c r="C374" s="166" t="s">
        <v>408</v>
      </c>
      <c r="D374" s="166" t="s">
        <v>409</v>
      </c>
      <c r="E374" s="97" t="s">
        <v>4</v>
      </c>
      <c r="G374" s="52"/>
    </row>
    <row r="375" spans="1:8" ht="55.5" customHeight="1" x14ac:dyDescent="0.2">
      <c r="B375" s="63" t="s">
        <v>760</v>
      </c>
      <c r="C375" s="97">
        <v>1</v>
      </c>
      <c r="D375" s="184">
        <f>28500*1.05*1.05</f>
        <v>31421.25</v>
      </c>
      <c r="E375" s="184">
        <f>C375*D375</f>
        <v>31421.25</v>
      </c>
      <c r="G375" s="52"/>
    </row>
    <row r="376" spans="1:8" ht="28.5" customHeight="1" x14ac:dyDescent="0.2">
      <c r="B376" s="64" t="s">
        <v>5</v>
      </c>
      <c r="C376" s="64"/>
      <c r="D376" s="64"/>
      <c r="E376" s="84">
        <f>SUM(E375:E375)</f>
        <v>31421.25</v>
      </c>
      <c r="F376" s="227"/>
      <c r="G376" s="228"/>
      <c r="H376" s="228"/>
    </row>
    <row r="377" spans="1:8" ht="28.5" customHeight="1" x14ac:dyDescent="0.2">
      <c r="B377" s="103"/>
      <c r="C377" s="103"/>
      <c r="D377" s="103"/>
      <c r="E377" s="193"/>
      <c r="F377" s="185"/>
      <c r="G377" s="185"/>
      <c r="H377" s="185"/>
    </row>
    <row r="378" spans="1:8" ht="28.5" customHeight="1" x14ac:dyDescent="0.2">
      <c r="A378" s="186" t="s">
        <v>213</v>
      </c>
      <c r="B378" s="229" t="s">
        <v>214</v>
      </c>
      <c r="C378" s="229"/>
      <c r="D378" s="229"/>
      <c r="E378" s="229"/>
      <c r="F378" s="229"/>
      <c r="G378" s="89">
        <v>0</v>
      </c>
      <c r="H378" s="51"/>
    </row>
    <row r="379" spans="1:8" ht="28.5" customHeight="1" x14ac:dyDescent="0.2">
      <c r="A379" s="186" t="s">
        <v>215</v>
      </c>
      <c r="B379" s="229" t="s">
        <v>216</v>
      </c>
      <c r="C379" s="229"/>
      <c r="D379" s="229"/>
      <c r="E379" s="229"/>
      <c r="F379" s="229"/>
      <c r="G379" s="89">
        <v>0</v>
      </c>
      <c r="H379" s="51"/>
    </row>
    <row r="380" spans="1:8" ht="28.5" customHeight="1" x14ac:dyDescent="0.2">
      <c r="A380" s="186" t="s">
        <v>217</v>
      </c>
      <c r="B380" s="225" t="s">
        <v>218</v>
      </c>
      <c r="C380" s="225"/>
      <c r="D380" s="225"/>
      <c r="E380" s="225"/>
      <c r="F380" s="225"/>
      <c r="G380" s="89">
        <v>0</v>
      </c>
      <c r="H380" s="51"/>
    </row>
    <row r="381" spans="1:8" ht="84.75" customHeight="1" x14ac:dyDescent="0.2">
      <c r="A381" s="54" t="s">
        <v>219</v>
      </c>
      <c r="B381" s="235" t="s">
        <v>220</v>
      </c>
      <c r="C381" s="235"/>
      <c r="D381" s="235"/>
      <c r="E381" s="235"/>
      <c r="F381" s="235"/>
      <c r="G381" s="55">
        <f>G383+G386+G387+G388+G389+G390+G391+G393+G404</f>
        <v>50879.34</v>
      </c>
      <c r="H381" s="54"/>
    </row>
    <row r="382" spans="1:8" ht="28.5" customHeight="1" x14ac:dyDescent="0.2">
      <c r="A382" s="51"/>
      <c r="B382" s="51"/>
      <c r="C382" s="51"/>
      <c r="D382" s="51"/>
      <c r="E382" s="51"/>
      <c r="F382" s="51"/>
      <c r="G382" s="53"/>
      <c r="H382" s="51"/>
    </row>
    <row r="383" spans="1:8" s="58" customFormat="1" ht="28.5" customHeight="1" x14ac:dyDescent="0.25">
      <c r="A383" s="187" t="s">
        <v>221</v>
      </c>
      <c r="B383" s="230" t="s">
        <v>222</v>
      </c>
      <c r="C383" s="230"/>
      <c r="D383" s="230"/>
      <c r="E383" s="230"/>
      <c r="F383" s="230"/>
      <c r="G383" s="60">
        <f>G384+G385</f>
        <v>0</v>
      </c>
      <c r="H383" s="59"/>
    </row>
    <row r="384" spans="1:8" s="58" customFormat="1" ht="28.5" customHeight="1" x14ac:dyDescent="0.25">
      <c r="A384" s="187" t="s">
        <v>223</v>
      </c>
      <c r="B384" s="230" t="s">
        <v>224</v>
      </c>
      <c r="C384" s="230"/>
      <c r="D384" s="230"/>
      <c r="E384" s="230"/>
      <c r="F384" s="230"/>
      <c r="G384" s="60">
        <v>0</v>
      </c>
      <c r="H384" s="59"/>
    </row>
    <row r="385" spans="1:8" s="58" customFormat="1" ht="28.5" customHeight="1" x14ac:dyDescent="0.25">
      <c r="A385" s="187" t="s">
        <v>225</v>
      </c>
      <c r="B385" s="230" t="s">
        <v>226</v>
      </c>
      <c r="C385" s="230"/>
      <c r="D385" s="230"/>
      <c r="E385" s="230"/>
      <c r="F385" s="230"/>
      <c r="G385" s="60">
        <v>0</v>
      </c>
      <c r="H385" s="59"/>
    </row>
    <row r="386" spans="1:8" s="58" customFormat="1" ht="28.5" customHeight="1" x14ac:dyDescent="0.25">
      <c r="A386" s="187" t="s">
        <v>227</v>
      </c>
      <c r="B386" s="230" t="s">
        <v>154</v>
      </c>
      <c r="C386" s="230"/>
      <c r="D386" s="230"/>
      <c r="E386" s="230"/>
      <c r="F386" s="230"/>
      <c r="G386" s="60">
        <v>0</v>
      </c>
      <c r="H386" s="59"/>
    </row>
    <row r="387" spans="1:8" s="58" customFormat="1" ht="28.5" customHeight="1" x14ac:dyDescent="0.25">
      <c r="A387" s="187" t="s">
        <v>228</v>
      </c>
      <c r="B387" s="230" t="s">
        <v>229</v>
      </c>
      <c r="C387" s="230"/>
      <c r="D387" s="230"/>
      <c r="E387" s="230"/>
      <c r="F387" s="230"/>
      <c r="G387" s="60">
        <v>0</v>
      </c>
      <c r="H387" s="59"/>
    </row>
    <row r="388" spans="1:8" s="58" customFormat="1" ht="28.5" customHeight="1" x14ac:dyDescent="0.25">
      <c r="A388" s="187" t="s">
        <v>230</v>
      </c>
      <c r="B388" s="230" t="s">
        <v>231</v>
      </c>
      <c r="C388" s="230"/>
      <c r="D388" s="230"/>
      <c r="E388" s="230"/>
      <c r="F388" s="230"/>
      <c r="G388" s="60">
        <v>0</v>
      </c>
      <c r="H388" s="59"/>
    </row>
    <row r="389" spans="1:8" s="58" customFormat="1" ht="28.5" customHeight="1" x14ac:dyDescent="0.25">
      <c r="A389" s="187" t="s">
        <v>232</v>
      </c>
      <c r="B389" s="230" t="s">
        <v>233</v>
      </c>
      <c r="C389" s="230"/>
      <c r="D389" s="230"/>
      <c r="E389" s="230"/>
      <c r="F389" s="230"/>
      <c r="G389" s="60">
        <v>0</v>
      </c>
      <c r="H389" s="59"/>
    </row>
    <row r="390" spans="1:8" s="58" customFormat="1" ht="28.5" customHeight="1" x14ac:dyDescent="0.25">
      <c r="A390" s="187" t="s">
        <v>234</v>
      </c>
      <c r="B390" s="230" t="s">
        <v>235</v>
      </c>
      <c r="C390" s="230"/>
      <c r="D390" s="230"/>
      <c r="E390" s="230"/>
      <c r="F390" s="230"/>
      <c r="G390" s="60">
        <v>0</v>
      </c>
      <c r="H390" s="59"/>
    </row>
    <row r="391" spans="1:8" s="58" customFormat="1" ht="28.5" customHeight="1" x14ac:dyDescent="0.25">
      <c r="A391" s="187" t="s">
        <v>236</v>
      </c>
      <c r="B391" s="230" t="s">
        <v>237</v>
      </c>
      <c r="C391" s="230"/>
      <c r="D391" s="230"/>
      <c r="E391" s="230"/>
      <c r="F391" s="230"/>
      <c r="G391" s="60">
        <v>0</v>
      </c>
      <c r="H391" s="59"/>
    </row>
    <row r="392" spans="1:8" ht="21" customHeight="1" x14ac:dyDescent="0.2">
      <c r="A392" s="194"/>
      <c r="B392" s="102"/>
      <c r="C392" s="102"/>
      <c r="D392" s="102"/>
      <c r="E392" s="102"/>
      <c r="F392" s="102"/>
      <c r="G392" s="195"/>
      <c r="H392" s="102"/>
    </row>
    <row r="393" spans="1:8" s="58" customFormat="1" ht="28.5" customHeight="1" x14ac:dyDescent="0.25">
      <c r="A393" s="187" t="s">
        <v>238</v>
      </c>
      <c r="B393" s="230" t="s">
        <v>61</v>
      </c>
      <c r="C393" s="230"/>
      <c r="D393" s="230"/>
      <c r="E393" s="230"/>
      <c r="F393" s="230"/>
      <c r="G393" s="60">
        <f>E405+F405</f>
        <v>50879.34</v>
      </c>
      <c r="H393" s="59"/>
    </row>
    <row r="394" spans="1:8" s="58" customFormat="1" ht="19.5" customHeight="1" x14ac:dyDescent="0.25">
      <c r="A394" s="187"/>
      <c r="B394" s="130"/>
      <c r="C394" s="130"/>
      <c r="D394" s="130"/>
      <c r="E394" s="130"/>
      <c r="F394" s="130"/>
      <c r="G394" s="60"/>
      <c r="H394" s="59"/>
    </row>
    <row r="395" spans="1:8" s="58" customFormat="1" ht="62.25" customHeight="1" x14ac:dyDescent="0.2">
      <c r="A395" s="186"/>
      <c r="B395" s="222" t="s">
        <v>249</v>
      </c>
      <c r="C395" s="223"/>
      <c r="D395" s="224"/>
      <c r="E395" s="196" t="s">
        <v>765</v>
      </c>
      <c r="F395" s="196" t="s">
        <v>802</v>
      </c>
      <c r="G395" s="121"/>
      <c r="H395" s="59"/>
    </row>
    <row r="396" spans="1:8" s="58" customFormat="1" ht="27.75" customHeight="1" x14ac:dyDescent="0.2">
      <c r="A396" s="51"/>
      <c r="B396" s="217" t="s">
        <v>727</v>
      </c>
      <c r="C396" s="218"/>
      <c r="D396" s="219"/>
      <c r="E396" s="107">
        <v>4769</v>
      </c>
      <c r="F396" s="107">
        <v>5700</v>
      </c>
      <c r="G396" s="51"/>
      <c r="H396" s="59"/>
    </row>
    <row r="397" spans="1:8" s="58" customFormat="1" ht="37.5" customHeight="1" x14ac:dyDescent="0.2">
      <c r="A397" s="186"/>
      <c r="B397" s="217" t="s">
        <v>728</v>
      </c>
      <c r="C397" s="218"/>
      <c r="D397" s="219"/>
      <c r="E397" s="124">
        <v>1.8</v>
      </c>
      <c r="F397" s="124">
        <v>1.8</v>
      </c>
      <c r="G397" s="121"/>
      <c r="H397" s="59"/>
    </row>
    <row r="398" spans="1:8" s="58" customFormat="1" ht="44.25" customHeight="1" x14ac:dyDescent="0.2">
      <c r="A398" s="51"/>
      <c r="B398" s="217" t="s">
        <v>729</v>
      </c>
      <c r="C398" s="218"/>
      <c r="D398" s="219"/>
      <c r="E398" s="124">
        <v>1</v>
      </c>
      <c r="F398" s="124">
        <v>1</v>
      </c>
      <c r="G398" s="51"/>
      <c r="H398" s="59"/>
    </row>
    <row r="399" spans="1:8" s="58" customFormat="1" ht="36" customHeight="1" x14ac:dyDescent="0.2">
      <c r="A399" s="51"/>
      <c r="B399" s="217" t="s">
        <v>730</v>
      </c>
      <c r="C399" s="218"/>
      <c r="D399" s="219"/>
      <c r="E399" s="124">
        <v>1.8</v>
      </c>
      <c r="F399" s="124">
        <v>1.8</v>
      </c>
      <c r="G399" s="51"/>
      <c r="H399" s="59"/>
    </row>
    <row r="400" spans="1:8" s="58" customFormat="1" ht="28.5" customHeight="1" x14ac:dyDescent="0.2">
      <c r="A400" s="51"/>
      <c r="B400" s="217" t="s">
        <v>731</v>
      </c>
      <c r="C400" s="218"/>
      <c r="D400" s="219"/>
      <c r="E400" s="124">
        <v>1.2</v>
      </c>
      <c r="F400" s="124">
        <v>1.2</v>
      </c>
      <c r="G400" s="51"/>
      <c r="H400" s="59"/>
    </row>
    <row r="401" spans="1:8" s="58" customFormat="1" ht="35.25" customHeight="1" x14ac:dyDescent="0.2">
      <c r="A401" s="51"/>
      <c r="B401" s="217" t="s">
        <v>732</v>
      </c>
      <c r="C401" s="218"/>
      <c r="D401" s="219"/>
      <c r="E401" s="124">
        <v>1</v>
      </c>
      <c r="F401" s="124">
        <v>1</v>
      </c>
      <c r="G401" s="51"/>
      <c r="H401" s="59"/>
    </row>
    <row r="402" spans="1:8" s="58" customFormat="1" ht="45.75" customHeight="1" x14ac:dyDescent="0.2">
      <c r="A402" s="51"/>
      <c r="B402" s="217" t="s">
        <v>733</v>
      </c>
      <c r="C402" s="218"/>
      <c r="D402" s="219"/>
      <c r="E402" s="124" t="s">
        <v>734</v>
      </c>
      <c r="F402" s="124" t="s">
        <v>734</v>
      </c>
      <c r="G402" s="51"/>
      <c r="H402" s="59"/>
    </row>
    <row r="403" spans="1:8" s="58" customFormat="1" ht="45" customHeight="1" x14ac:dyDescent="0.2">
      <c r="A403" s="51"/>
      <c r="B403" s="217" t="s">
        <v>735</v>
      </c>
      <c r="C403" s="218"/>
      <c r="D403" s="219"/>
      <c r="E403" s="124" t="s">
        <v>734</v>
      </c>
      <c r="F403" s="124" t="s">
        <v>734</v>
      </c>
      <c r="G403" s="51"/>
      <c r="H403" s="59"/>
    </row>
    <row r="404" spans="1:8" s="58" customFormat="1" ht="28.5" customHeight="1" x14ac:dyDescent="0.2">
      <c r="A404" s="51"/>
      <c r="B404" s="217" t="s">
        <v>736</v>
      </c>
      <c r="C404" s="218"/>
      <c r="D404" s="219"/>
      <c r="E404" s="124">
        <v>1.25</v>
      </c>
      <c r="F404" s="124">
        <v>1.25</v>
      </c>
      <c r="G404" s="51"/>
      <c r="H404" s="197"/>
    </row>
    <row r="405" spans="1:8" ht="35.25" customHeight="1" x14ac:dyDescent="0.2">
      <c r="A405" s="51"/>
      <c r="B405" s="217" t="s">
        <v>4</v>
      </c>
      <c r="C405" s="218"/>
      <c r="D405" s="219"/>
      <c r="E405" s="198">
        <f>E396*E397*E398*E399*E400*E401*E404</f>
        <v>23177.34</v>
      </c>
      <c r="F405" s="198">
        <f>F396*F397*F398*F399*F400*F401*F404</f>
        <v>27702</v>
      </c>
      <c r="G405" s="51"/>
      <c r="H405" s="51"/>
    </row>
    <row r="406" spans="1:8" ht="28.5" customHeight="1" x14ac:dyDescent="0.2">
      <c r="A406" s="54" t="s">
        <v>239</v>
      </c>
      <c r="B406" s="235" t="s">
        <v>240</v>
      </c>
      <c r="C406" s="235"/>
      <c r="D406" s="235"/>
      <c r="E406" s="235"/>
      <c r="F406" s="235"/>
      <c r="G406" s="55">
        <f>G408</f>
        <v>0</v>
      </c>
      <c r="H406" s="54"/>
    </row>
    <row r="407" spans="1:8" ht="19.5" customHeight="1" x14ac:dyDescent="0.2">
      <c r="A407" s="51"/>
      <c r="B407" s="199"/>
      <c r="C407" s="199"/>
      <c r="D407" s="199"/>
      <c r="E407" s="135"/>
      <c r="F407" s="135"/>
      <c r="G407" s="53"/>
      <c r="H407" s="51"/>
    </row>
    <row r="408" spans="1:8" s="58" customFormat="1" ht="28.5" customHeight="1" x14ac:dyDescent="0.25">
      <c r="A408" s="187" t="s">
        <v>241</v>
      </c>
      <c r="B408" s="230" t="s">
        <v>91</v>
      </c>
      <c r="C408" s="230"/>
      <c r="D408" s="230"/>
      <c r="E408" s="230"/>
      <c r="F408" s="230"/>
      <c r="G408" s="60">
        <v>0</v>
      </c>
      <c r="H408" s="59"/>
    </row>
    <row r="409" spans="1:8" s="58" customFormat="1" ht="28.5" customHeight="1" x14ac:dyDescent="0.25">
      <c r="A409" s="187" t="s">
        <v>242</v>
      </c>
      <c r="B409" s="230" t="s">
        <v>243</v>
      </c>
      <c r="C409" s="230"/>
      <c r="D409" s="230"/>
      <c r="E409" s="230"/>
      <c r="F409" s="230"/>
      <c r="G409" s="60">
        <v>0</v>
      </c>
      <c r="H409" s="59"/>
    </row>
    <row r="410" spans="1:8" s="58" customFormat="1" ht="28.5" customHeight="1" x14ac:dyDescent="0.25">
      <c r="A410" s="187" t="s">
        <v>244</v>
      </c>
      <c r="B410" s="230" t="s">
        <v>245</v>
      </c>
      <c r="C410" s="230"/>
      <c r="D410" s="230"/>
      <c r="E410" s="230"/>
      <c r="F410" s="230"/>
      <c r="G410" s="60">
        <f>E424</f>
        <v>255528</v>
      </c>
      <c r="H410" s="59"/>
    </row>
    <row r="411" spans="1:8" s="51" customFormat="1" ht="57" customHeight="1" x14ac:dyDescent="0.2">
      <c r="B411" s="124" t="s">
        <v>249</v>
      </c>
      <c r="C411" s="200" t="s">
        <v>611</v>
      </c>
      <c r="D411" s="78" t="s">
        <v>612</v>
      </c>
      <c r="E411" s="79" t="s">
        <v>4</v>
      </c>
    </row>
    <row r="412" spans="1:8" s="51" customFormat="1" ht="28.5" customHeight="1" x14ac:dyDescent="0.2">
      <c r="B412" s="68" t="s">
        <v>276</v>
      </c>
      <c r="C412" s="201">
        <v>1</v>
      </c>
      <c r="D412" s="108">
        <f>45000*1.04*1.05</f>
        <v>49140</v>
      </c>
      <c r="E412" s="108">
        <f t="shared" ref="E412:E423" si="9">C412*D412</f>
        <v>49140</v>
      </c>
    </row>
    <row r="413" spans="1:8" s="51" customFormat="1" ht="28.5" customHeight="1" x14ac:dyDescent="0.2">
      <c r="B413" s="68" t="s">
        <v>293</v>
      </c>
      <c r="C413" s="201">
        <v>1</v>
      </c>
      <c r="D413" s="108">
        <f>7000*1.04*1.05</f>
        <v>7644</v>
      </c>
      <c r="E413" s="108">
        <f t="shared" si="9"/>
        <v>7644</v>
      </c>
    </row>
    <row r="414" spans="1:8" s="51" customFormat="1" ht="28.5" customHeight="1" x14ac:dyDescent="0.2">
      <c r="B414" s="68" t="s">
        <v>538</v>
      </c>
      <c r="C414" s="201">
        <v>1</v>
      </c>
      <c r="D414" s="108">
        <f>2500*1.04*1.05</f>
        <v>2730</v>
      </c>
      <c r="E414" s="108">
        <f t="shared" si="9"/>
        <v>2730</v>
      </c>
    </row>
    <row r="415" spans="1:8" s="51" customFormat="1" ht="28.5" customHeight="1" x14ac:dyDescent="0.2">
      <c r="B415" s="68" t="s">
        <v>271</v>
      </c>
      <c r="C415" s="201">
        <v>1</v>
      </c>
      <c r="D415" s="108">
        <f>55000*1.04*1.05</f>
        <v>60060</v>
      </c>
      <c r="E415" s="108">
        <f t="shared" si="9"/>
        <v>60060</v>
      </c>
    </row>
    <row r="416" spans="1:8" s="51" customFormat="1" ht="28.5" customHeight="1" x14ac:dyDescent="0.2">
      <c r="B416" s="68" t="s">
        <v>537</v>
      </c>
      <c r="C416" s="201">
        <v>1</v>
      </c>
      <c r="D416" s="108">
        <f>10000*1.04*1.05</f>
        <v>10920</v>
      </c>
      <c r="E416" s="108">
        <f t="shared" si="9"/>
        <v>10920</v>
      </c>
      <c r="F416" s="191"/>
      <c r="G416" s="99"/>
      <c r="H416" s="99"/>
    </row>
    <row r="417" spans="1:8" s="51" customFormat="1" ht="28.5" customHeight="1" x14ac:dyDescent="0.2">
      <c r="B417" s="68" t="s">
        <v>613</v>
      </c>
      <c r="C417" s="201">
        <v>3</v>
      </c>
      <c r="D417" s="108">
        <f>1500*1.04*1.05</f>
        <v>1638</v>
      </c>
      <c r="E417" s="108">
        <f t="shared" si="9"/>
        <v>4914</v>
      </c>
      <c r="F417" s="191"/>
      <c r="G417" s="99"/>
      <c r="H417" s="99"/>
    </row>
    <row r="418" spans="1:8" s="51" customFormat="1" ht="28.5" customHeight="1" x14ac:dyDescent="0.2">
      <c r="B418" s="68" t="s">
        <v>292</v>
      </c>
      <c r="C418" s="201">
        <v>1</v>
      </c>
      <c r="D418" s="108">
        <f>10000*1.04*1.05</f>
        <v>10920</v>
      </c>
      <c r="E418" s="108">
        <f t="shared" si="9"/>
        <v>10920</v>
      </c>
      <c r="F418" s="191"/>
      <c r="G418" s="99"/>
      <c r="H418" s="99"/>
    </row>
    <row r="419" spans="1:8" s="51" customFormat="1" ht="28.5" customHeight="1" x14ac:dyDescent="0.2">
      <c r="B419" s="68" t="s">
        <v>552</v>
      </c>
      <c r="C419" s="201">
        <v>1</v>
      </c>
      <c r="D419" s="108">
        <f>40000*1.04*1.05</f>
        <v>43680</v>
      </c>
      <c r="E419" s="108">
        <f t="shared" si="9"/>
        <v>43680</v>
      </c>
      <c r="F419" s="191"/>
      <c r="G419" s="99"/>
      <c r="H419" s="99"/>
    </row>
    <row r="420" spans="1:8" s="51" customFormat="1" ht="28.5" customHeight="1" x14ac:dyDescent="0.2">
      <c r="B420" s="68" t="s">
        <v>274</v>
      </c>
      <c r="C420" s="201">
        <v>1</v>
      </c>
      <c r="D420" s="108">
        <f>20000*1.04*1.05</f>
        <v>21840</v>
      </c>
      <c r="E420" s="108">
        <f t="shared" si="9"/>
        <v>21840</v>
      </c>
      <c r="F420" s="191"/>
      <c r="G420" s="99"/>
      <c r="H420" s="99"/>
    </row>
    <row r="421" spans="1:8" s="51" customFormat="1" ht="28.5" customHeight="1" x14ac:dyDescent="0.2">
      <c r="B421" s="68" t="s">
        <v>614</v>
      </c>
      <c r="C421" s="201">
        <v>1</v>
      </c>
      <c r="D421" s="108">
        <f>16000*1.04*1.05</f>
        <v>17472</v>
      </c>
      <c r="E421" s="108">
        <f t="shared" si="9"/>
        <v>17472</v>
      </c>
      <c r="F421" s="191"/>
      <c r="G421" s="99"/>
      <c r="H421" s="99"/>
    </row>
    <row r="422" spans="1:8" s="51" customFormat="1" ht="28.5" customHeight="1" x14ac:dyDescent="0.2">
      <c r="B422" s="173" t="s">
        <v>615</v>
      </c>
      <c r="C422" s="201">
        <v>1</v>
      </c>
      <c r="D422" s="108">
        <f>12000*1.04*1.05</f>
        <v>13104</v>
      </c>
      <c r="E422" s="108">
        <f t="shared" si="9"/>
        <v>13104</v>
      </c>
      <c r="F422" s="191"/>
      <c r="G422" s="99"/>
      <c r="H422" s="99"/>
    </row>
    <row r="423" spans="1:8" s="51" customFormat="1" ht="28.5" customHeight="1" x14ac:dyDescent="0.2">
      <c r="B423" s="173" t="s">
        <v>616</v>
      </c>
      <c r="C423" s="201">
        <v>2</v>
      </c>
      <c r="D423" s="108">
        <f>6000*1.04*1.05</f>
        <v>6552</v>
      </c>
      <c r="E423" s="108">
        <f t="shared" si="9"/>
        <v>13104</v>
      </c>
      <c r="F423" s="191"/>
      <c r="G423" s="99"/>
      <c r="H423" s="99"/>
    </row>
    <row r="424" spans="1:8" s="51" customFormat="1" ht="28.5" customHeight="1" x14ac:dyDescent="0.2">
      <c r="B424" s="79" t="s">
        <v>5</v>
      </c>
      <c r="C424" s="201"/>
      <c r="D424" s="79"/>
      <c r="E424" s="109">
        <f>SUM(E412:E423)</f>
        <v>255528</v>
      </c>
      <c r="F424" s="191"/>
      <c r="G424" s="99"/>
      <c r="H424" s="99"/>
    </row>
    <row r="425" spans="1:8" s="58" customFormat="1" ht="18.75" customHeight="1" x14ac:dyDescent="0.25">
      <c r="A425" s="187"/>
      <c r="B425" s="130"/>
      <c r="C425" s="130"/>
      <c r="D425" s="130"/>
      <c r="E425" s="130"/>
      <c r="F425" s="130"/>
      <c r="G425" s="60"/>
      <c r="H425" s="59"/>
    </row>
    <row r="426" spans="1:8" s="58" customFormat="1" ht="28.5" customHeight="1" x14ac:dyDescent="0.25">
      <c r="A426" s="187" t="s">
        <v>246</v>
      </c>
      <c r="B426" s="230" t="s">
        <v>247</v>
      </c>
      <c r="C426" s="230"/>
      <c r="D426" s="230"/>
      <c r="E426" s="230"/>
      <c r="F426" s="230"/>
      <c r="G426" s="60">
        <v>0</v>
      </c>
      <c r="H426" s="59"/>
    </row>
    <row r="427" spans="1:8" s="58" customFormat="1" ht="18.75" customHeight="1" x14ac:dyDescent="0.25">
      <c r="A427" s="59"/>
      <c r="B427" s="202"/>
      <c r="C427" s="202"/>
      <c r="D427" s="202"/>
      <c r="E427" s="128"/>
      <c r="F427" s="128"/>
      <c r="G427" s="170"/>
      <c r="H427" s="59"/>
    </row>
    <row r="428" spans="1:8" ht="28.5" customHeight="1" x14ac:dyDescent="0.2">
      <c r="A428" s="54" t="s">
        <v>309</v>
      </c>
      <c r="B428" s="235" t="s">
        <v>308</v>
      </c>
      <c r="C428" s="235"/>
      <c r="D428" s="235"/>
      <c r="E428" s="235"/>
      <c r="F428" s="235"/>
      <c r="G428" s="55">
        <f>G430+G431+G437+G443+G458+G459</f>
        <v>886718.98329999996</v>
      </c>
      <c r="H428" s="54"/>
    </row>
    <row r="429" spans="1:8" ht="15.75" customHeight="1" x14ac:dyDescent="0.2">
      <c r="A429" s="51"/>
      <c r="B429" s="199"/>
      <c r="C429" s="199"/>
      <c r="D429" s="199"/>
      <c r="E429" s="135"/>
      <c r="F429" s="135"/>
      <c r="G429" s="53"/>
      <c r="H429" s="51"/>
    </row>
    <row r="430" spans="1:8" s="58" customFormat="1" ht="28.5" customHeight="1" x14ac:dyDescent="0.25">
      <c r="A430" s="187" t="s">
        <v>310</v>
      </c>
      <c r="B430" s="230" t="s">
        <v>311</v>
      </c>
      <c r="C430" s="230"/>
      <c r="D430" s="230"/>
      <c r="E430" s="230"/>
      <c r="F430" s="230"/>
      <c r="G430" s="60">
        <v>0</v>
      </c>
      <c r="H430" s="59"/>
    </row>
    <row r="431" spans="1:8" s="58" customFormat="1" ht="28.5" customHeight="1" x14ac:dyDescent="0.25">
      <c r="A431" s="187" t="s">
        <v>317</v>
      </c>
      <c r="B431" s="230" t="s">
        <v>312</v>
      </c>
      <c r="C431" s="230"/>
      <c r="D431" s="230"/>
      <c r="E431" s="230"/>
      <c r="F431" s="230"/>
      <c r="G431" s="60">
        <f>E435</f>
        <v>174760.57279999994</v>
      </c>
      <c r="H431" s="59"/>
    </row>
    <row r="432" spans="1:8" ht="10.5" customHeight="1" x14ac:dyDescent="0.2">
      <c r="A432" s="51"/>
      <c r="B432" s="199"/>
      <c r="C432" s="199"/>
      <c r="D432" s="199"/>
      <c r="E432" s="135"/>
      <c r="F432" s="135"/>
      <c r="G432" s="53"/>
      <c r="H432" s="51"/>
    </row>
    <row r="433" spans="1:8" ht="93" customHeight="1" x14ac:dyDescent="0.2">
      <c r="A433" s="51"/>
      <c r="B433" s="61" t="s">
        <v>249</v>
      </c>
      <c r="C433" s="62" t="s">
        <v>1</v>
      </c>
      <c r="D433" s="62" t="s">
        <v>313</v>
      </c>
      <c r="E433" s="61" t="s">
        <v>4</v>
      </c>
      <c r="F433" s="51"/>
      <c r="G433" s="53"/>
      <c r="H433" s="51"/>
    </row>
    <row r="434" spans="1:8" ht="45" customHeight="1" x14ac:dyDescent="0.2">
      <c r="A434" s="51"/>
      <c r="B434" s="68" t="s">
        <v>316</v>
      </c>
      <c r="C434" s="179">
        <v>8</v>
      </c>
      <c r="D434" s="72">
        <f>'нормативы канцелярия'!H119</f>
        <v>21845.071599999992</v>
      </c>
      <c r="E434" s="72">
        <f>C434*D434</f>
        <v>174760.57279999994</v>
      </c>
      <c r="F434" s="231"/>
      <c r="G434" s="232"/>
      <c r="H434" s="232"/>
    </row>
    <row r="435" spans="1:8" ht="28.5" customHeight="1" x14ac:dyDescent="0.2">
      <c r="A435" s="51"/>
      <c r="B435" s="79" t="s">
        <v>5</v>
      </c>
      <c r="C435" s="79"/>
      <c r="D435" s="79"/>
      <c r="E435" s="109">
        <f>SUM(E434:E434)</f>
        <v>174760.57279999994</v>
      </c>
      <c r="F435" s="231"/>
      <c r="G435" s="232"/>
      <c r="H435" s="232"/>
    </row>
    <row r="436" spans="1:8" ht="19.5" customHeight="1" x14ac:dyDescent="0.2">
      <c r="A436" s="51"/>
      <c r="B436" s="199"/>
      <c r="C436" s="199"/>
      <c r="D436" s="199"/>
      <c r="E436" s="135"/>
      <c r="F436" s="135"/>
      <c r="G436" s="53"/>
      <c r="H436" s="51"/>
    </row>
    <row r="437" spans="1:8" ht="28.5" customHeight="1" x14ac:dyDescent="0.2">
      <c r="A437" s="186" t="s">
        <v>318</v>
      </c>
      <c r="B437" s="229" t="s">
        <v>319</v>
      </c>
      <c r="C437" s="229"/>
      <c r="D437" s="229"/>
      <c r="E437" s="229"/>
      <c r="F437" s="229"/>
      <c r="G437" s="89">
        <f>D441</f>
        <v>164179.31200000001</v>
      </c>
      <c r="H437" s="51"/>
    </row>
    <row r="438" spans="1:8" ht="19.5" customHeight="1" x14ac:dyDescent="0.2">
      <c r="A438" s="51"/>
      <c r="B438" s="199"/>
      <c r="C438" s="199"/>
      <c r="D438" s="199"/>
      <c r="E438" s="135"/>
      <c r="F438" s="135"/>
      <c r="G438" s="53"/>
      <c r="H438" s="51"/>
    </row>
    <row r="439" spans="1:8" ht="105.75" customHeight="1" x14ac:dyDescent="0.2">
      <c r="A439" s="51"/>
      <c r="B439" s="61" t="s">
        <v>249</v>
      </c>
      <c r="C439" s="62" t="s">
        <v>329</v>
      </c>
      <c r="D439" s="61" t="s">
        <v>4</v>
      </c>
      <c r="E439" s="51"/>
      <c r="F439" s="51"/>
      <c r="G439" s="53"/>
      <c r="H439" s="51"/>
    </row>
    <row r="440" spans="1:8" ht="48" customHeight="1" x14ac:dyDescent="0.2">
      <c r="A440" s="51"/>
      <c r="B440" s="68" t="s">
        <v>328</v>
      </c>
      <c r="C440" s="72">
        <f>'нормативы хозяйственные'!G110</f>
        <v>164179.31200000001</v>
      </c>
      <c r="D440" s="72">
        <f>C440</f>
        <v>164179.31200000001</v>
      </c>
      <c r="E440" s="231"/>
      <c r="F440" s="232"/>
      <c r="G440" s="232"/>
      <c r="H440" s="51"/>
    </row>
    <row r="441" spans="1:8" ht="28.5" customHeight="1" x14ac:dyDescent="0.2">
      <c r="A441" s="51"/>
      <c r="B441" s="79" t="s">
        <v>5</v>
      </c>
      <c r="C441" s="79"/>
      <c r="D441" s="109">
        <f>SUM(D440:D440)</f>
        <v>164179.31200000001</v>
      </c>
      <c r="E441" s="231"/>
      <c r="F441" s="232"/>
      <c r="G441" s="232"/>
      <c r="H441" s="51"/>
    </row>
    <row r="442" spans="1:8" ht="20.25" customHeight="1" x14ac:dyDescent="0.2">
      <c r="A442" s="51"/>
      <c r="B442" s="199"/>
      <c r="C442" s="199"/>
      <c r="D442" s="199"/>
      <c r="E442" s="135"/>
      <c r="F442" s="135"/>
      <c r="G442" s="53"/>
      <c r="H442" s="51"/>
    </row>
    <row r="443" spans="1:8" s="58" customFormat="1" ht="28.5" customHeight="1" x14ac:dyDescent="0.25">
      <c r="A443" s="187" t="s">
        <v>330</v>
      </c>
      <c r="B443" s="230" t="s">
        <v>60</v>
      </c>
      <c r="C443" s="230"/>
      <c r="D443" s="230"/>
      <c r="E443" s="230"/>
      <c r="F443" s="230"/>
      <c r="G443" s="60">
        <f>F456</f>
        <v>547779.09849999996</v>
      </c>
      <c r="H443" s="59"/>
    </row>
    <row r="444" spans="1:8" s="58" customFormat="1" ht="15" customHeight="1" x14ac:dyDescent="0.25">
      <c r="A444" s="187"/>
      <c r="B444" s="130"/>
      <c r="C444" s="130"/>
      <c r="D444" s="130"/>
      <c r="E444" s="130"/>
      <c r="F444" s="130"/>
      <c r="G444" s="60"/>
      <c r="H444" s="59"/>
    </row>
    <row r="445" spans="1:8" s="58" customFormat="1" ht="255" customHeight="1" x14ac:dyDescent="0.2">
      <c r="A445" s="187"/>
      <c r="B445" s="61" t="s">
        <v>249</v>
      </c>
      <c r="C445" s="78" t="s">
        <v>737</v>
      </c>
      <c r="D445" s="78" t="s">
        <v>738</v>
      </c>
      <c r="E445" s="78" t="s">
        <v>250</v>
      </c>
      <c r="F445" s="78" t="s">
        <v>4</v>
      </c>
      <c r="G445" s="60"/>
      <c r="H445" s="59"/>
    </row>
    <row r="446" spans="1:8" s="58" customFormat="1" ht="28.5" customHeight="1" x14ac:dyDescent="0.2">
      <c r="A446" s="187"/>
      <c r="B446" s="78" t="s">
        <v>744</v>
      </c>
      <c r="C446" s="78"/>
      <c r="D446" s="78"/>
      <c r="E446" s="78"/>
      <c r="F446" s="78"/>
      <c r="G446" s="60"/>
      <c r="H446" s="59"/>
    </row>
    <row r="447" spans="1:8" s="58" customFormat="1" ht="28.5" customHeight="1" x14ac:dyDescent="0.2">
      <c r="A447" s="187"/>
      <c r="B447" s="79" t="s">
        <v>739</v>
      </c>
      <c r="C447" s="79">
        <v>11</v>
      </c>
      <c r="D447" s="108">
        <v>76.67</v>
      </c>
      <c r="E447" s="79">
        <v>149</v>
      </c>
      <c r="F447" s="108">
        <f>C447*D447*E447</f>
        <v>125662.13</v>
      </c>
      <c r="G447" s="60"/>
      <c r="H447" s="59"/>
    </row>
    <row r="448" spans="1:8" s="58" customFormat="1" ht="28.5" customHeight="1" x14ac:dyDescent="0.2">
      <c r="A448" s="187"/>
      <c r="B448" s="79" t="s">
        <v>740</v>
      </c>
      <c r="C448" s="79">
        <v>7.0000000000000007E-2</v>
      </c>
      <c r="D448" s="108">
        <f>1600*1.05</f>
        <v>1680</v>
      </c>
      <c r="E448" s="79">
        <v>149</v>
      </c>
      <c r="F448" s="108">
        <f>C448*D448*E448</f>
        <v>17522.400000000001</v>
      </c>
      <c r="G448" s="60"/>
      <c r="H448" s="59"/>
    </row>
    <row r="449" spans="1:8" s="58" customFormat="1" ht="28.5" customHeight="1" x14ac:dyDescent="0.2">
      <c r="A449" s="187"/>
      <c r="B449" s="79" t="s">
        <v>741</v>
      </c>
      <c r="C449" s="79">
        <v>13</v>
      </c>
      <c r="D449" s="108">
        <v>85.44</v>
      </c>
      <c r="E449" s="79">
        <v>98</v>
      </c>
      <c r="F449" s="108">
        <f>C449*D449*E449</f>
        <v>108850.56</v>
      </c>
      <c r="G449" s="60"/>
      <c r="H449" s="59"/>
    </row>
    <row r="450" spans="1:8" s="58" customFormat="1" ht="28.5" customHeight="1" x14ac:dyDescent="0.2">
      <c r="A450" s="187"/>
      <c r="B450" s="79" t="s">
        <v>742</v>
      </c>
      <c r="C450" s="79">
        <v>0.08</v>
      </c>
      <c r="D450" s="108">
        <f>1800*1.05</f>
        <v>1890</v>
      </c>
      <c r="E450" s="79">
        <v>98</v>
      </c>
      <c r="F450" s="108">
        <f>C450*D450*E450</f>
        <v>14817.600000000002</v>
      </c>
      <c r="G450" s="60"/>
      <c r="H450" s="59"/>
    </row>
    <row r="451" spans="1:8" s="58" customFormat="1" ht="28.5" customHeight="1" x14ac:dyDescent="0.2">
      <c r="A451" s="187"/>
      <c r="B451" s="79" t="s">
        <v>803</v>
      </c>
      <c r="C451" s="79"/>
      <c r="D451" s="108"/>
      <c r="E451" s="79"/>
      <c r="F451" s="108"/>
      <c r="G451" s="60"/>
      <c r="H451" s="59"/>
    </row>
    <row r="452" spans="1:8" s="58" customFormat="1" ht="28.5" customHeight="1" x14ac:dyDescent="0.2">
      <c r="A452" s="187"/>
      <c r="B452" s="79" t="s">
        <v>739</v>
      </c>
      <c r="C452" s="79">
        <v>13.86</v>
      </c>
      <c r="D452" s="108">
        <v>75.2</v>
      </c>
      <c r="E452" s="79">
        <v>145</v>
      </c>
      <c r="F452" s="108">
        <f>C452*D452*E452</f>
        <v>151129.44</v>
      </c>
      <c r="G452" s="60"/>
      <c r="H452" s="59"/>
    </row>
    <row r="453" spans="1:8" s="58" customFormat="1" ht="28.5" customHeight="1" x14ac:dyDescent="0.2">
      <c r="A453" s="187"/>
      <c r="B453" s="79" t="s">
        <v>740</v>
      </c>
      <c r="C453" s="79">
        <v>7.0000000000000007E-2</v>
      </c>
      <c r="D453" s="108">
        <v>1700</v>
      </c>
      <c r="E453" s="79">
        <v>145</v>
      </c>
      <c r="F453" s="108">
        <f>C453*D453*E453</f>
        <v>17255.000000000004</v>
      </c>
      <c r="G453" s="60"/>
      <c r="H453" s="59"/>
    </row>
    <row r="454" spans="1:8" s="58" customFormat="1" ht="28.5" customHeight="1" x14ac:dyDescent="0.2">
      <c r="A454" s="187"/>
      <c r="B454" s="79" t="s">
        <v>741</v>
      </c>
      <c r="C454" s="79">
        <v>13.03</v>
      </c>
      <c r="D454" s="108">
        <v>77.41</v>
      </c>
      <c r="E454" s="79">
        <v>95</v>
      </c>
      <c r="F454" s="108">
        <f>C454*D454*E454</f>
        <v>95821.968499999988</v>
      </c>
      <c r="G454" s="60"/>
      <c r="H454" s="59"/>
    </row>
    <row r="455" spans="1:8" s="58" customFormat="1" ht="28.5" customHeight="1" x14ac:dyDescent="0.2">
      <c r="A455" s="187"/>
      <c r="B455" s="79" t="s">
        <v>742</v>
      </c>
      <c r="C455" s="79">
        <v>0.08</v>
      </c>
      <c r="D455" s="108">
        <v>2200</v>
      </c>
      <c r="E455" s="79">
        <v>95</v>
      </c>
      <c r="F455" s="108">
        <f>C455*D455*E455</f>
        <v>16720</v>
      </c>
      <c r="G455" s="60"/>
      <c r="H455" s="59"/>
    </row>
    <row r="456" spans="1:8" s="58" customFormat="1" ht="28.5" customHeight="1" x14ac:dyDescent="0.25">
      <c r="A456" s="187"/>
      <c r="B456" s="203"/>
      <c r="C456" s="203"/>
      <c r="D456" s="203"/>
      <c r="E456" s="203"/>
      <c r="F456" s="71">
        <f>SUM(F447:F455)</f>
        <v>547779.09849999996</v>
      </c>
      <c r="G456" s="60"/>
      <c r="H456" s="59"/>
    </row>
    <row r="457" spans="1:8" s="58" customFormat="1" ht="12" customHeight="1" x14ac:dyDescent="0.25">
      <c r="A457" s="187"/>
      <c r="B457" s="202"/>
      <c r="C457" s="204"/>
      <c r="D457" s="204"/>
      <c r="E457" s="130"/>
      <c r="F457" s="130"/>
      <c r="G457" s="60"/>
      <c r="H457" s="59"/>
    </row>
    <row r="458" spans="1:8" s="58" customFormat="1" ht="28.5" customHeight="1" x14ac:dyDescent="0.25">
      <c r="A458" s="187" t="s">
        <v>332</v>
      </c>
      <c r="B458" s="59" t="s">
        <v>331</v>
      </c>
      <c r="C458" s="59"/>
      <c r="D458" s="59"/>
      <c r="E458" s="59"/>
      <c r="F458" s="59"/>
      <c r="G458" s="60">
        <v>0</v>
      </c>
      <c r="H458" s="59"/>
    </row>
    <row r="459" spans="1:8" s="58" customFormat="1" ht="28.5" customHeight="1" x14ac:dyDescent="0.25">
      <c r="A459" s="187" t="s">
        <v>333</v>
      </c>
      <c r="B459" s="59" t="s">
        <v>334</v>
      </c>
      <c r="C459" s="59"/>
      <c r="D459" s="59"/>
      <c r="E459" s="59"/>
      <c r="F459" s="59"/>
      <c r="G459" s="60">
        <v>0</v>
      </c>
      <c r="H459" s="59"/>
    </row>
    <row r="460" spans="1:8" s="58" customFormat="1" ht="20.25" customHeight="1" x14ac:dyDescent="0.25">
      <c r="A460" s="59"/>
      <c r="B460" s="130"/>
      <c r="C460" s="130"/>
      <c r="D460" s="130"/>
      <c r="E460" s="59"/>
      <c r="F460" s="59"/>
      <c r="G460" s="170"/>
      <c r="H460" s="59"/>
    </row>
    <row r="461" spans="1:8" s="58" customFormat="1" ht="28.5" customHeight="1" x14ac:dyDescent="0.25">
      <c r="A461" s="56" t="s">
        <v>300</v>
      </c>
      <c r="B461" s="56" t="s">
        <v>335</v>
      </c>
      <c r="C461" s="56"/>
      <c r="D461" s="56"/>
      <c r="E461" s="56"/>
      <c r="F461" s="56"/>
      <c r="G461" s="57">
        <v>0</v>
      </c>
      <c r="H461" s="56"/>
    </row>
    <row r="462" spans="1:8" s="58" customFormat="1" ht="20.25" customHeight="1" x14ac:dyDescent="0.25">
      <c r="A462" s="56"/>
      <c r="B462" s="56"/>
      <c r="C462" s="56"/>
      <c r="D462" s="56"/>
      <c r="E462" s="56"/>
      <c r="F462" s="56"/>
      <c r="G462" s="57"/>
      <c r="H462" s="56"/>
    </row>
    <row r="463" spans="1:8" s="58" customFormat="1" ht="28.5" customHeight="1" x14ac:dyDescent="0.25">
      <c r="A463" s="187" t="s">
        <v>336</v>
      </c>
      <c r="B463" s="230" t="s">
        <v>335</v>
      </c>
      <c r="C463" s="230"/>
      <c r="D463" s="230"/>
      <c r="E463" s="230"/>
      <c r="F463" s="230"/>
      <c r="G463" s="60">
        <v>0</v>
      </c>
      <c r="H463" s="59"/>
    </row>
    <row r="464" spans="1:8" s="58" customFormat="1" ht="28.5" customHeight="1" x14ac:dyDescent="0.25">
      <c r="A464" s="187" t="s">
        <v>337</v>
      </c>
      <c r="B464" s="230" t="s">
        <v>339</v>
      </c>
      <c r="C464" s="230"/>
      <c r="D464" s="230"/>
      <c r="E464" s="230"/>
      <c r="F464" s="230"/>
      <c r="G464" s="60">
        <v>0</v>
      </c>
      <c r="H464" s="59"/>
    </row>
    <row r="465" spans="1:12" s="58" customFormat="1" ht="28.5" customHeight="1" x14ac:dyDescent="0.25">
      <c r="A465" s="187" t="s">
        <v>338</v>
      </c>
      <c r="B465" s="230" t="s">
        <v>340</v>
      </c>
      <c r="C465" s="230"/>
      <c r="D465" s="230"/>
      <c r="E465" s="230"/>
      <c r="F465" s="230"/>
      <c r="G465" s="60">
        <v>0</v>
      </c>
      <c r="H465" s="59"/>
    </row>
    <row r="466" spans="1:12" ht="18" customHeight="1" x14ac:dyDescent="0.2">
      <c r="A466" s="186"/>
      <c r="B466" s="121"/>
      <c r="C466" s="121"/>
      <c r="D466" s="121"/>
      <c r="E466" s="121"/>
      <c r="F466" s="121"/>
      <c r="G466" s="89"/>
      <c r="H466" s="51"/>
    </row>
    <row r="467" spans="1:12" ht="28.5" customHeight="1" x14ac:dyDescent="0.2">
      <c r="A467" s="54" t="s">
        <v>326</v>
      </c>
      <c r="B467" s="234" t="s">
        <v>343</v>
      </c>
      <c r="C467" s="234"/>
      <c r="D467" s="234"/>
      <c r="E467" s="234"/>
      <c r="F467" s="234"/>
      <c r="G467" s="55">
        <v>0</v>
      </c>
      <c r="H467" s="54"/>
    </row>
    <row r="468" spans="1:12" ht="28.5" customHeight="1" x14ac:dyDescent="0.2">
      <c r="A468" s="54"/>
      <c r="B468" s="54"/>
      <c r="C468" s="54"/>
      <c r="D468" s="54"/>
      <c r="E468" s="54"/>
      <c r="F468" s="54"/>
      <c r="G468" s="55"/>
      <c r="H468" s="54"/>
    </row>
    <row r="469" spans="1:12" s="58" customFormat="1" ht="28.5" customHeight="1" x14ac:dyDescent="0.25">
      <c r="A469" s="187" t="s">
        <v>341</v>
      </c>
      <c r="B469" s="230" t="s">
        <v>344</v>
      </c>
      <c r="C469" s="230"/>
      <c r="D469" s="230"/>
      <c r="E469" s="230"/>
      <c r="F469" s="230"/>
      <c r="G469" s="60">
        <v>0</v>
      </c>
      <c r="H469" s="59"/>
    </row>
    <row r="470" spans="1:12" s="58" customFormat="1" ht="28.5" customHeight="1" x14ac:dyDescent="0.25">
      <c r="A470" s="187" t="s">
        <v>342</v>
      </c>
      <c r="B470" s="230" t="s">
        <v>345</v>
      </c>
      <c r="C470" s="230"/>
      <c r="D470" s="230"/>
      <c r="E470" s="230"/>
      <c r="F470" s="230"/>
      <c r="G470" s="60">
        <v>0</v>
      </c>
      <c r="H470" s="59"/>
    </row>
    <row r="471" spans="1:12" ht="15.75" customHeight="1" x14ac:dyDescent="0.2">
      <c r="A471" s="186"/>
      <c r="B471" s="121"/>
      <c r="C471" s="121"/>
      <c r="D471" s="121"/>
      <c r="E471" s="121"/>
      <c r="F471" s="121"/>
      <c r="G471" s="89"/>
      <c r="H471" s="51"/>
    </row>
    <row r="472" spans="1:12" ht="28.5" customHeight="1" x14ac:dyDescent="0.2">
      <c r="A472" s="54" t="s">
        <v>346</v>
      </c>
      <c r="B472" s="234" t="s">
        <v>348</v>
      </c>
      <c r="C472" s="234"/>
      <c r="D472" s="234"/>
      <c r="E472" s="234"/>
      <c r="F472" s="234"/>
      <c r="G472" s="55">
        <v>0</v>
      </c>
      <c r="H472" s="54"/>
    </row>
    <row r="473" spans="1:12" ht="15" customHeight="1" x14ac:dyDescent="0.2">
      <c r="A473" s="54"/>
      <c r="B473" s="54"/>
      <c r="C473" s="54"/>
      <c r="D473" s="54"/>
      <c r="E473" s="54"/>
      <c r="F473" s="54"/>
      <c r="G473" s="55"/>
      <c r="H473" s="54"/>
    </row>
    <row r="474" spans="1:12" s="58" customFormat="1" ht="28.5" customHeight="1" x14ac:dyDescent="0.25">
      <c r="A474" s="187" t="s">
        <v>347</v>
      </c>
      <c r="B474" s="230" t="s">
        <v>349</v>
      </c>
      <c r="C474" s="230"/>
      <c r="D474" s="230"/>
      <c r="E474" s="230"/>
      <c r="F474" s="230"/>
      <c r="G474" s="60">
        <v>0</v>
      </c>
      <c r="H474" s="59"/>
    </row>
    <row r="475" spans="1:12" ht="28.5" customHeight="1" x14ac:dyDescent="0.2">
      <c r="A475" s="186"/>
      <c r="B475" s="121"/>
      <c r="C475" s="121"/>
      <c r="D475" s="121"/>
      <c r="E475" s="121"/>
      <c r="F475" s="121"/>
      <c r="G475" s="89"/>
      <c r="H475" s="51"/>
    </row>
    <row r="476" spans="1:12" ht="28.5" customHeight="1" x14ac:dyDescent="0.2">
      <c r="A476" s="54"/>
      <c r="B476" s="234" t="s">
        <v>350</v>
      </c>
      <c r="C476" s="234"/>
      <c r="D476" s="234"/>
      <c r="E476" s="234"/>
      <c r="F476" s="234"/>
      <c r="G476" s="55">
        <f>G5+G212+G461+G467+G472</f>
        <v>3789186.33274</v>
      </c>
      <c r="H476" s="54"/>
      <c r="L476" s="177"/>
    </row>
    <row r="477" spans="1:12" ht="28.5" customHeight="1" x14ac:dyDescent="0.2">
      <c r="A477" s="51"/>
      <c r="B477" s="51"/>
      <c r="C477" s="51"/>
      <c r="D477" s="51"/>
      <c r="E477" s="51"/>
      <c r="F477" s="51"/>
      <c r="G477" s="53"/>
      <c r="H477" s="51"/>
    </row>
  </sheetData>
  <mergeCells count="101">
    <mergeCell ref="G1:H1"/>
    <mergeCell ref="B21:F21"/>
    <mergeCell ref="B27:F27"/>
    <mergeCell ref="B28:F28"/>
    <mergeCell ref="B111:F111"/>
    <mergeCell ref="C185:C190"/>
    <mergeCell ref="C194:C196"/>
    <mergeCell ref="B113:F113"/>
    <mergeCell ref="B110:C110"/>
    <mergeCell ref="B169:E169"/>
    <mergeCell ref="B115:F115"/>
    <mergeCell ref="E118:F118"/>
    <mergeCell ref="B120:F120"/>
    <mergeCell ref="B40:F40"/>
    <mergeCell ref="B3:G3"/>
    <mergeCell ref="B93:F93"/>
    <mergeCell ref="B30:F30"/>
    <mergeCell ref="B174:F174"/>
    <mergeCell ref="B101:F101"/>
    <mergeCell ref="B109:F109"/>
    <mergeCell ref="F336:H336"/>
    <mergeCell ref="B250:F250"/>
    <mergeCell ref="B210:E210"/>
    <mergeCell ref="B86:F86"/>
    <mergeCell ref="B64:F64"/>
    <mergeCell ref="B85:F85"/>
    <mergeCell ref="B41:F41"/>
    <mergeCell ref="B46:F46"/>
    <mergeCell ref="B47:F47"/>
    <mergeCell ref="B48:F48"/>
    <mergeCell ref="B63:F63"/>
    <mergeCell ref="E44:G44"/>
    <mergeCell ref="B213:F213"/>
    <mergeCell ref="B245:F245"/>
    <mergeCell ref="F253:H253"/>
    <mergeCell ref="B251:F251"/>
    <mergeCell ref="B201:F201"/>
    <mergeCell ref="B351:F351"/>
    <mergeCell ref="B352:F352"/>
    <mergeCell ref="B426:F426"/>
    <mergeCell ref="B410:F410"/>
    <mergeCell ref="B381:F381"/>
    <mergeCell ref="B383:F383"/>
    <mergeCell ref="B384:F384"/>
    <mergeCell ref="B385:F385"/>
    <mergeCell ref="B386:F386"/>
    <mergeCell ref="B393:F393"/>
    <mergeCell ref="B406:F406"/>
    <mergeCell ref="B408:F408"/>
    <mergeCell ref="B391:F391"/>
    <mergeCell ref="B388:F388"/>
    <mergeCell ref="B389:F389"/>
    <mergeCell ref="B390:F390"/>
    <mergeCell ref="B397:D397"/>
    <mergeCell ref="B403:D403"/>
    <mergeCell ref="B409:F409"/>
    <mergeCell ref="B404:D404"/>
    <mergeCell ref="B387:F387"/>
    <mergeCell ref="B405:D405"/>
    <mergeCell ref="B370:F370"/>
    <mergeCell ref="B372:F372"/>
    <mergeCell ref="B476:F476"/>
    <mergeCell ref="E440:G441"/>
    <mergeCell ref="B428:F428"/>
    <mergeCell ref="B430:F430"/>
    <mergeCell ref="B431:F431"/>
    <mergeCell ref="F434:H435"/>
    <mergeCell ref="B472:F472"/>
    <mergeCell ref="B474:F474"/>
    <mergeCell ref="B470:F470"/>
    <mergeCell ref="B467:F467"/>
    <mergeCell ref="B443:F443"/>
    <mergeCell ref="B463:F463"/>
    <mergeCell ref="B464:F464"/>
    <mergeCell ref="B465:F465"/>
    <mergeCell ref="B469:F469"/>
    <mergeCell ref="B437:F437"/>
    <mergeCell ref="B398:D398"/>
    <mergeCell ref="B399:D399"/>
    <mergeCell ref="B400:D400"/>
    <mergeCell ref="B401:D401"/>
    <mergeCell ref="B402:D402"/>
    <mergeCell ref="E1:F1"/>
    <mergeCell ref="E2:H2"/>
    <mergeCell ref="B395:D395"/>
    <mergeCell ref="B396:D396"/>
    <mergeCell ref="B380:F380"/>
    <mergeCell ref="B303:F303"/>
    <mergeCell ref="B317:F317"/>
    <mergeCell ref="F376:H376"/>
    <mergeCell ref="B378:F378"/>
    <mergeCell ref="B379:F379"/>
    <mergeCell ref="B368:F368"/>
    <mergeCell ref="B353:F353"/>
    <mergeCell ref="B354:F354"/>
    <mergeCell ref="B234:F234"/>
    <mergeCell ref="B243:F243"/>
    <mergeCell ref="B248:F248"/>
    <mergeCell ref="F262:H262"/>
    <mergeCell ref="B369:F369"/>
    <mergeCell ref="B334:F33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0" manualBreakCount="10">
    <brk id="38" max="9" man="1"/>
    <brk id="74" max="9" man="1"/>
    <brk id="112" max="9" man="1"/>
    <brk id="188" max="9" man="1"/>
    <brk id="230" max="9" man="1"/>
    <brk id="263" max="9" man="1"/>
    <brk id="310" max="9" man="1"/>
    <brk id="342" max="9" man="1"/>
    <brk id="383" max="9" man="1"/>
    <brk id="41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6"/>
  <sheetViews>
    <sheetView view="pageBreakPreview" zoomScaleSheetLayoutView="100" workbookViewId="0">
      <selection activeCell="G14" sqref="G14"/>
    </sheetView>
  </sheetViews>
  <sheetFormatPr defaultRowHeight="15" x14ac:dyDescent="0.25"/>
  <cols>
    <col min="1" max="1" width="5.140625" customWidth="1"/>
    <col min="2" max="2" width="4.140625" customWidth="1"/>
    <col min="3" max="3" width="30.140625" customWidth="1"/>
    <col min="4" max="4" width="24.140625" customWidth="1"/>
    <col min="5" max="5" width="10.42578125" customWidth="1"/>
    <col min="6" max="6" width="40.42578125" customWidth="1"/>
    <col min="7" max="7" width="28.5703125" customWidth="1"/>
  </cols>
  <sheetData>
    <row r="1" spans="1:10" x14ac:dyDescent="0.25">
      <c r="E1" s="256" t="s">
        <v>351</v>
      </c>
      <c r="F1" s="256"/>
      <c r="G1" s="256"/>
    </row>
    <row r="2" spans="1:10" s="1" customFormat="1" ht="30.2" customHeight="1" x14ac:dyDescent="0.25">
      <c r="A2" s="1" t="s">
        <v>45</v>
      </c>
      <c r="B2" s="252" t="s">
        <v>264</v>
      </c>
      <c r="C2" s="252"/>
      <c r="D2" s="252"/>
      <c r="E2" s="252"/>
      <c r="F2" s="252"/>
      <c r="G2" s="252"/>
    </row>
    <row r="4" spans="1:10" ht="36" x14ac:dyDescent="0.25">
      <c r="B4" s="2" t="s">
        <v>248</v>
      </c>
      <c r="C4" s="2" t="s">
        <v>249</v>
      </c>
      <c r="D4" s="2" t="s">
        <v>250</v>
      </c>
      <c r="E4" s="2" t="s">
        <v>251</v>
      </c>
      <c r="F4" s="2" t="s">
        <v>252</v>
      </c>
      <c r="G4" s="2" t="s">
        <v>439</v>
      </c>
      <c r="I4" s="17"/>
    </row>
    <row r="5" spans="1:10" ht="24" x14ac:dyDescent="0.25">
      <c r="B5" s="2">
        <v>1</v>
      </c>
      <c r="C5" s="3" t="s">
        <v>253</v>
      </c>
      <c r="D5" s="2" t="s">
        <v>254</v>
      </c>
      <c r="E5" s="2">
        <v>3</v>
      </c>
      <c r="F5" s="2" t="s">
        <v>781</v>
      </c>
      <c r="G5" s="2" t="s">
        <v>563</v>
      </c>
      <c r="I5" s="17"/>
    </row>
    <row r="6" spans="1:10" ht="24" x14ac:dyDescent="0.25">
      <c r="B6" s="2">
        <v>2</v>
      </c>
      <c r="C6" s="3" t="s">
        <v>253</v>
      </c>
      <c r="D6" s="2" t="s">
        <v>254</v>
      </c>
      <c r="E6" s="2">
        <v>3</v>
      </c>
      <c r="F6" s="2" t="s">
        <v>782</v>
      </c>
      <c r="G6" s="2" t="s">
        <v>564</v>
      </c>
      <c r="I6" s="17"/>
    </row>
    <row r="7" spans="1:10" ht="24" x14ac:dyDescent="0.25">
      <c r="B7" s="2">
        <v>3</v>
      </c>
      <c r="C7" s="3" t="s">
        <v>255</v>
      </c>
      <c r="D7" s="2" t="s">
        <v>254</v>
      </c>
      <c r="E7" s="2">
        <v>3</v>
      </c>
      <c r="F7" s="2" t="s">
        <v>259</v>
      </c>
      <c r="G7" s="2" t="s">
        <v>563</v>
      </c>
      <c r="I7" s="17"/>
    </row>
    <row r="8" spans="1:10" ht="24" x14ac:dyDescent="0.25">
      <c r="B8" s="2">
        <v>5</v>
      </c>
      <c r="C8" s="3" t="s">
        <v>440</v>
      </c>
      <c r="D8" s="2" t="s">
        <v>254</v>
      </c>
      <c r="E8" s="2">
        <v>3</v>
      </c>
      <c r="F8" s="2" t="s">
        <v>781</v>
      </c>
      <c r="G8" s="2" t="s">
        <v>563</v>
      </c>
      <c r="I8" s="17"/>
    </row>
    <row r="9" spans="1:10" ht="24" x14ac:dyDescent="0.25">
      <c r="B9" s="2">
        <v>6</v>
      </c>
      <c r="C9" s="3" t="s">
        <v>440</v>
      </c>
      <c r="D9" s="2" t="s">
        <v>254</v>
      </c>
      <c r="E9" s="2">
        <v>3</v>
      </c>
      <c r="F9" s="2" t="s">
        <v>782</v>
      </c>
      <c r="G9" s="2" t="s">
        <v>564</v>
      </c>
      <c r="I9" s="17"/>
    </row>
    <row r="10" spans="1:10" ht="24" x14ac:dyDescent="0.25">
      <c r="B10" s="2">
        <v>7</v>
      </c>
      <c r="C10" s="3" t="s">
        <v>441</v>
      </c>
      <c r="D10" s="2" t="s">
        <v>254</v>
      </c>
      <c r="E10" s="2">
        <v>3</v>
      </c>
      <c r="F10" s="2" t="s">
        <v>783</v>
      </c>
      <c r="G10" s="2" t="s">
        <v>563</v>
      </c>
      <c r="I10" s="17"/>
    </row>
    <row r="11" spans="1:10" ht="24" x14ac:dyDescent="0.25">
      <c r="B11" s="2">
        <v>8</v>
      </c>
      <c r="C11" s="3" t="s">
        <v>441</v>
      </c>
      <c r="D11" s="2" t="s">
        <v>254</v>
      </c>
      <c r="E11" s="2">
        <v>3</v>
      </c>
      <c r="F11" s="2" t="s">
        <v>784</v>
      </c>
      <c r="G11" s="2" t="s">
        <v>564</v>
      </c>
      <c r="I11" s="17"/>
    </row>
    <row r="12" spans="1:10" ht="24" x14ac:dyDescent="0.25">
      <c r="B12" s="2">
        <v>9</v>
      </c>
      <c r="C12" s="3" t="s">
        <v>522</v>
      </c>
      <c r="D12" s="2" t="s">
        <v>254</v>
      </c>
      <c r="E12" s="2">
        <v>3</v>
      </c>
      <c r="F12" s="2" t="s">
        <v>260</v>
      </c>
      <c r="G12" s="2" t="s">
        <v>564</v>
      </c>
      <c r="H12" s="9"/>
      <c r="I12" s="9"/>
      <c r="J12" s="9"/>
    </row>
    <row r="13" spans="1:10" ht="24" x14ac:dyDescent="0.25">
      <c r="B13" s="2">
        <v>10</v>
      </c>
      <c r="C13" s="3" t="s">
        <v>256</v>
      </c>
      <c r="D13" s="2" t="s">
        <v>254</v>
      </c>
      <c r="E13" s="2">
        <v>3</v>
      </c>
      <c r="F13" s="2" t="s">
        <v>785</v>
      </c>
      <c r="G13" s="2" t="s">
        <v>564</v>
      </c>
    </row>
    <row r="14" spans="1:10" ht="24" x14ac:dyDescent="0.25">
      <c r="B14" s="2">
        <v>11</v>
      </c>
      <c r="C14" s="3" t="s">
        <v>262</v>
      </c>
      <c r="D14" s="2" t="s">
        <v>254</v>
      </c>
      <c r="E14" s="2">
        <v>3</v>
      </c>
      <c r="F14" s="2" t="s">
        <v>786</v>
      </c>
      <c r="G14" s="2" t="s">
        <v>564</v>
      </c>
    </row>
    <row r="15" spans="1:10" ht="24" x14ac:dyDescent="0.25">
      <c r="B15" s="2">
        <v>12</v>
      </c>
      <c r="C15" s="3" t="s">
        <v>263</v>
      </c>
      <c r="D15" s="2" t="s">
        <v>258</v>
      </c>
      <c r="E15" s="2">
        <v>3</v>
      </c>
      <c r="F15" s="2" t="s">
        <v>781</v>
      </c>
      <c r="G15" s="2"/>
    </row>
    <row r="16" spans="1:10" ht="24" x14ac:dyDescent="0.25">
      <c r="B16" s="2">
        <v>13</v>
      </c>
      <c r="C16" s="3" t="s">
        <v>523</v>
      </c>
      <c r="D16" s="8" t="s">
        <v>524</v>
      </c>
      <c r="E16" s="2">
        <v>3</v>
      </c>
      <c r="F16" s="2" t="s">
        <v>257</v>
      </c>
      <c r="G16" s="2"/>
    </row>
    <row r="17" spans="1:10" ht="36" x14ac:dyDescent="0.25">
      <c r="B17" s="2">
        <v>14</v>
      </c>
      <c r="C17" s="3" t="s">
        <v>261</v>
      </c>
      <c r="D17" s="2" t="s">
        <v>254</v>
      </c>
      <c r="E17" s="2">
        <v>5</v>
      </c>
      <c r="F17" s="2" t="s">
        <v>787</v>
      </c>
      <c r="G17" s="2" t="s">
        <v>563</v>
      </c>
    </row>
    <row r="18" spans="1:10" ht="36" x14ac:dyDescent="0.25">
      <c r="B18" s="2">
        <v>15</v>
      </c>
      <c r="C18" s="3" t="s">
        <v>261</v>
      </c>
      <c r="D18" s="2" t="s">
        <v>254</v>
      </c>
      <c r="E18" s="2">
        <v>5</v>
      </c>
      <c r="F18" s="2" t="s">
        <v>788</v>
      </c>
      <c r="G18" s="2" t="s">
        <v>564</v>
      </c>
    </row>
    <row r="19" spans="1:10" ht="24" x14ac:dyDescent="0.25">
      <c r="B19" s="2">
        <v>16</v>
      </c>
      <c r="C19" s="3" t="s">
        <v>525</v>
      </c>
      <c r="D19" s="2" t="s">
        <v>526</v>
      </c>
      <c r="E19" s="2">
        <v>5</v>
      </c>
      <c r="F19" s="2" t="s">
        <v>260</v>
      </c>
      <c r="G19" s="2"/>
      <c r="H19" s="9"/>
      <c r="I19" s="9"/>
      <c r="J19" s="9"/>
    </row>
    <row r="20" spans="1:10" ht="24" x14ac:dyDescent="0.25">
      <c r="B20" s="2">
        <v>17</v>
      </c>
      <c r="C20" s="3" t="s">
        <v>527</v>
      </c>
      <c r="D20" s="2" t="s">
        <v>526</v>
      </c>
      <c r="E20" s="2">
        <v>5</v>
      </c>
      <c r="F20" s="2" t="s">
        <v>521</v>
      </c>
      <c r="G20" s="2"/>
      <c r="H20" s="9"/>
      <c r="I20" s="9"/>
      <c r="J20" s="9"/>
    </row>
    <row r="21" spans="1:10" ht="24" x14ac:dyDescent="0.25">
      <c r="B21" s="2">
        <v>18</v>
      </c>
      <c r="C21" s="3" t="s">
        <v>528</v>
      </c>
      <c r="D21" s="2" t="s">
        <v>254</v>
      </c>
      <c r="E21" s="2">
        <v>5</v>
      </c>
      <c r="F21" s="2" t="s">
        <v>529</v>
      </c>
      <c r="G21" s="2" t="s">
        <v>564</v>
      </c>
      <c r="H21" s="9"/>
      <c r="I21" s="9"/>
      <c r="J21" s="9"/>
    </row>
    <row r="23" spans="1:10" s="1" customFormat="1" ht="30.2" customHeight="1" x14ac:dyDescent="0.25">
      <c r="A23" s="4" t="s">
        <v>109</v>
      </c>
      <c r="B23" s="252" t="s">
        <v>265</v>
      </c>
      <c r="C23" s="252"/>
      <c r="D23" s="252"/>
      <c r="E23" s="252"/>
      <c r="F23" s="252"/>
      <c r="G23" s="252"/>
    </row>
    <row r="24" spans="1:10" ht="15.75" thickBot="1" x14ac:dyDescent="0.3"/>
    <row r="25" spans="1:10" ht="48.75" thickBot="1" x14ac:dyDescent="0.3">
      <c r="B25" s="10" t="s">
        <v>266</v>
      </c>
      <c r="C25" s="7" t="s">
        <v>267</v>
      </c>
      <c r="D25" s="7" t="s">
        <v>268</v>
      </c>
      <c r="E25" s="7" t="s">
        <v>269</v>
      </c>
      <c r="F25" s="7" t="s">
        <v>270</v>
      </c>
    </row>
    <row r="26" spans="1:10" ht="15" customHeight="1" thickBot="1" x14ac:dyDescent="0.3">
      <c r="B26" s="253" t="s">
        <v>562</v>
      </c>
      <c r="C26" s="254"/>
      <c r="D26" s="254"/>
      <c r="E26" s="254"/>
      <c r="F26" s="255"/>
    </row>
    <row r="27" spans="1:10" ht="15.75" thickBot="1" x14ac:dyDescent="0.3">
      <c r="B27" s="11">
        <v>1</v>
      </c>
      <c r="C27" s="12" t="s">
        <v>271</v>
      </c>
      <c r="D27" s="13" t="s">
        <v>272</v>
      </c>
      <c r="E27" s="13">
        <v>7</v>
      </c>
      <c r="F27" s="13" t="s">
        <v>770</v>
      </c>
    </row>
    <row r="28" spans="1:10" ht="15.75" thickBot="1" x14ac:dyDescent="0.3">
      <c r="B28" s="11">
        <v>2</v>
      </c>
      <c r="C28" s="12" t="s">
        <v>273</v>
      </c>
      <c r="D28" s="13" t="s">
        <v>272</v>
      </c>
      <c r="E28" s="13">
        <v>7</v>
      </c>
      <c r="F28" s="12" t="s">
        <v>766</v>
      </c>
    </row>
    <row r="29" spans="1:10" ht="15.75" thickBot="1" x14ac:dyDescent="0.3">
      <c r="B29" s="11">
        <v>3</v>
      </c>
      <c r="C29" s="12" t="s">
        <v>530</v>
      </c>
      <c r="D29" s="13" t="s">
        <v>272</v>
      </c>
      <c r="E29" s="13">
        <v>7</v>
      </c>
      <c r="F29" s="12" t="s">
        <v>767</v>
      </c>
    </row>
    <row r="30" spans="1:10" ht="24.75" thickBot="1" x14ac:dyDescent="0.3">
      <c r="B30" s="11">
        <v>4</v>
      </c>
      <c r="C30" s="12" t="s">
        <v>531</v>
      </c>
      <c r="D30" s="13" t="s">
        <v>272</v>
      </c>
      <c r="E30" s="13">
        <v>7</v>
      </c>
      <c r="F30" s="12" t="s">
        <v>535</v>
      </c>
    </row>
    <row r="31" spans="1:10" ht="15.75" thickBot="1" x14ac:dyDescent="0.3">
      <c r="B31" s="11">
        <v>5</v>
      </c>
      <c r="C31" s="12" t="s">
        <v>299</v>
      </c>
      <c r="D31" s="13" t="s">
        <v>272</v>
      </c>
      <c r="E31" s="13">
        <v>7</v>
      </c>
      <c r="F31" s="12" t="s">
        <v>767</v>
      </c>
    </row>
    <row r="32" spans="1:10" ht="15.75" thickBot="1" x14ac:dyDescent="0.3">
      <c r="B32" s="11">
        <v>6</v>
      </c>
      <c r="C32" s="12" t="s">
        <v>274</v>
      </c>
      <c r="D32" s="13" t="s">
        <v>272</v>
      </c>
      <c r="E32" s="13">
        <v>7</v>
      </c>
      <c r="F32" s="12" t="s">
        <v>275</v>
      </c>
    </row>
    <row r="33" spans="2:6" ht="15.75" thickBot="1" x14ac:dyDescent="0.3">
      <c r="B33" s="11">
        <v>7</v>
      </c>
      <c r="C33" s="12" t="s">
        <v>276</v>
      </c>
      <c r="D33" s="13" t="s">
        <v>272</v>
      </c>
      <c r="E33" s="13">
        <v>5</v>
      </c>
      <c r="F33" s="12" t="s">
        <v>768</v>
      </c>
    </row>
    <row r="34" spans="2:6" ht="24.75" thickBot="1" x14ac:dyDescent="0.3">
      <c r="B34" s="11">
        <v>8</v>
      </c>
      <c r="C34" s="12" t="s">
        <v>277</v>
      </c>
      <c r="D34" s="13" t="s">
        <v>272</v>
      </c>
      <c r="E34" s="13">
        <v>7</v>
      </c>
      <c r="F34" s="12" t="s">
        <v>278</v>
      </c>
    </row>
    <row r="35" spans="2:6" ht="15.75" thickBot="1" x14ac:dyDescent="0.3">
      <c r="B35" s="11">
        <v>9</v>
      </c>
      <c r="C35" s="12" t="s">
        <v>532</v>
      </c>
      <c r="D35" s="13" t="s">
        <v>272</v>
      </c>
      <c r="E35" s="13">
        <v>7</v>
      </c>
      <c r="F35" s="12" t="s">
        <v>533</v>
      </c>
    </row>
    <row r="36" spans="2:6" ht="15.75" thickBot="1" x14ac:dyDescent="0.3">
      <c r="B36" s="11">
        <v>10</v>
      </c>
      <c r="C36" s="12" t="s">
        <v>534</v>
      </c>
      <c r="D36" s="13" t="s">
        <v>272</v>
      </c>
      <c r="E36" s="13">
        <v>7</v>
      </c>
      <c r="F36" s="12" t="s">
        <v>535</v>
      </c>
    </row>
    <row r="37" spans="2:6" ht="15.75" thickBot="1" x14ac:dyDescent="0.3">
      <c r="B37" s="11">
        <v>11</v>
      </c>
      <c r="C37" s="12" t="s">
        <v>279</v>
      </c>
      <c r="D37" s="13" t="s">
        <v>280</v>
      </c>
      <c r="E37" s="13">
        <v>5</v>
      </c>
      <c r="F37" s="12" t="s">
        <v>281</v>
      </c>
    </row>
    <row r="38" spans="2:6" ht="24.75" thickBot="1" x14ac:dyDescent="0.3">
      <c r="B38" s="11">
        <v>12</v>
      </c>
      <c r="C38" s="12" t="s">
        <v>536</v>
      </c>
      <c r="D38" s="13" t="s">
        <v>282</v>
      </c>
      <c r="E38" s="13">
        <v>5</v>
      </c>
      <c r="F38" s="12" t="s">
        <v>283</v>
      </c>
    </row>
    <row r="39" spans="2:6" ht="24.75" thickBot="1" x14ac:dyDescent="0.3">
      <c r="B39" s="11">
        <v>13</v>
      </c>
      <c r="C39" s="12" t="s">
        <v>284</v>
      </c>
      <c r="D39" s="13" t="s">
        <v>272</v>
      </c>
      <c r="E39" s="13">
        <v>21</v>
      </c>
      <c r="F39" s="12" t="s">
        <v>285</v>
      </c>
    </row>
    <row r="40" spans="2:6" ht="15" customHeight="1" thickBot="1" x14ac:dyDescent="0.3">
      <c r="B40" s="253" t="s">
        <v>564</v>
      </c>
      <c r="C40" s="254"/>
      <c r="D40" s="254"/>
      <c r="E40" s="254"/>
      <c r="F40" s="255"/>
    </row>
    <row r="41" spans="2:6" ht="24.75" thickBot="1" x14ac:dyDescent="0.3">
      <c r="B41" s="14">
        <v>1</v>
      </c>
      <c r="C41" s="12" t="s">
        <v>537</v>
      </c>
      <c r="D41" s="13" t="s">
        <v>286</v>
      </c>
      <c r="E41" s="13">
        <v>7</v>
      </c>
      <c r="F41" s="12" t="s">
        <v>275</v>
      </c>
    </row>
    <row r="42" spans="2:6" ht="24.75" thickBot="1" x14ac:dyDescent="0.3">
      <c r="B42" s="14">
        <v>2</v>
      </c>
      <c r="C42" s="12" t="s">
        <v>287</v>
      </c>
      <c r="D42" s="13" t="s">
        <v>286</v>
      </c>
      <c r="E42" s="13">
        <v>7</v>
      </c>
      <c r="F42" s="12" t="s">
        <v>288</v>
      </c>
    </row>
    <row r="43" spans="2:6" ht="24.75" thickBot="1" x14ac:dyDescent="0.3">
      <c r="B43" s="14">
        <v>3</v>
      </c>
      <c r="C43" s="12" t="s">
        <v>290</v>
      </c>
      <c r="D43" s="13" t="s">
        <v>289</v>
      </c>
      <c r="E43" s="13">
        <v>7</v>
      </c>
      <c r="F43" s="12" t="s">
        <v>291</v>
      </c>
    </row>
    <row r="44" spans="2:6" ht="24.75" thickBot="1" x14ac:dyDescent="0.3">
      <c r="B44" s="14">
        <v>4</v>
      </c>
      <c r="C44" s="12" t="s">
        <v>538</v>
      </c>
      <c r="D44" s="15" t="s">
        <v>286</v>
      </c>
      <c r="E44" s="13">
        <v>7</v>
      </c>
      <c r="F44" s="12" t="s">
        <v>769</v>
      </c>
    </row>
    <row r="45" spans="2:6" ht="24.75" thickBot="1" x14ac:dyDescent="0.3">
      <c r="B45" s="14">
        <v>5</v>
      </c>
      <c r="C45" s="12" t="s">
        <v>539</v>
      </c>
      <c r="D45" s="13" t="s">
        <v>289</v>
      </c>
      <c r="E45" s="13">
        <v>7</v>
      </c>
      <c r="F45" s="12" t="s">
        <v>540</v>
      </c>
    </row>
    <row r="46" spans="2:6" ht="24.75" thickBot="1" x14ac:dyDescent="0.3">
      <c r="B46" s="14">
        <v>6</v>
      </c>
      <c r="C46" s="12" t="s">
        <v>292</v>
      </c>
      <c r="D46" s="13" t="s">
        <v>289</v>
      </c>
      <c r="E46" s="13">
        <v>7</v>
      </c>
      <c r="F46" s="12" t="s">
        <v>772</v>
      </c>
    </row>
    <row r="47" spans="2:6" ht="24.75" thickBot="1" x14ac:dyDescent="0.3">
      <c r="B47" s="14">
        <v>7</v>
      </c>
      <c r="C47" s="12" t="s">
        <v>541</v>
      </c>
      <c r="D47" s="13" t="s">
        <v>296</v>
      </c>
      <c r="E47" s="13">
        <v>7</v>
      </c>
      <c r="F47" s="12" t="s">
        <v>775</v>
      </c>
    </row>
    <row r="48" spans="2:6" ht="24.75" thickBot="1" x14ac:dyDescent="0.3">
      <c r="B48" s="14">
        <v>8</v>
      </c>
      <c r="C48" s="12" t="s">
        <v>542</v>
      </c>
      <c r="D48" s="13" t="s">
        <v>296</v>
      </c>
      <c r="E48" s="13">
        <v>7</v>
      </c>
      <c r="F48" s="12" t="s">
        <v>776</v>
      </c>
    </row>
    <row r="49" spans="2:6" ht="24.75" thickBot="1" x14ac:dyDescent="0.3">
      <c r="B49" s="14">
        <v>9</v>
      </c>
      <c r="C49" s="12" t="s">
        <v>543</v>
      </c>
      <c r="D49" s="13" t="s">
        <v>296</v>
      </c>
      <c r="E49" s="13">
        <v>7</v>
      </c>
      <c r="F49" s="12" t="s">
        <v>777</v>
      </c>
    </row>
    <row r="50" spans="2:6" ht="24.75" thickBot="1" x14ac:dyDescent="0.3">
      <c r="B50" s="14">
        <v>10</v>
      </c>
      <c r="C50" s="12" t="s">
        <v>544</v>
      </c>
      <c r="D50" s="13" t="s">
        <v>296</v>
      </c>
      <c r="E50" s="13">
        <v>7</v>
      </c>
      <c r="F50" s="12" t="s">
        <v>546</v>
      </c>
    </row>
    <row r="51" spans="2:6" ht="24.75" thickBot="1" x14ac:dyDescent="0.3">
      <c r="B51" s="14">
        <v>11</v>
      </c>
      <c r="C51" s="12" t="s">
        <v>545</v>
      </c>
      <c r="D51" s="13" t="s">
        <v>296</v>
      </c>
      <c r="E51" s="13">
        <v>7</v>
      </c>
      <c r="F51" s="12" t="s">
        <v>546</v>
      </c>
    </row>
    <row r="52" spans="2:6" ht="24.75" thickBot="1" x14ac:dyDescent="0.3">
      <c r="B52" s="14">
        <v>12</v>
      </c>
      <c r="C52" s="12" t="s">
        <v>547</v>
      </c>
      <c r="D52" s="13" t="s">
        <v>296</v>
      </c>
      <c r="E52" s="13">
        <v>7</v>
      </c>
      <c r="F52" s="12" t="s">
        <v>777</v>
      </c>
    </row>
    <row r="53" spans="2:6" ht="24.75" thickBot="1" x14ac:dyDescent="0.3">
      <c r="B53" s="14">
        <v>13</v>
      </c>
      <c r="C53" s="12" t="s">
        <v>548</v>
      </c>
      <c r="D53" s="13" t="s">
        <v>549</v>
      </c>
      <c r="E53" s="13">
        <v>5</v>
      </c>
      <c r="F53" s="12" t="s">
        <v>778</v>
      </c>
    </row>
    <row r="54" spans="2:6" ht="15.75" thickBot="1" x14ac:dyDescent="0.3">
      <c r="B54" s="14">
        <v>14</v>
      </c>
      <c r="C54" s="12" t="s">
        <v>534</v>
      </c>
      <c r="D54" s="15" t="s">
        <v>296</v>
      </c>
      <c r="E54" s="13">
        <v>7</v>
      </c>
      <c r="F54" s="12" t="s">
        <v>550</v>
      </c>
    </row>
    <row r="55" spans="2:6" ht="15.75" thickBot="1" x14ac:dyDescent="0.3">
      <c r="B55" s="14">
        <v>15</v>
      </c>
      <c r="C55" s="12" t="s">
        <v>551</v>
      </c>
      <c r="D55" s="13" t="s">
        <v>296</v>
      </c>
      <c r="E55" s="13">
        <v>21</v>
      </c>
      <c r="F55" s="16" t="s">
        <v>297</v>
      </c>
    </row>
    <row r="56" spans="2:6" ht="24.75" thickBot="1" x14ac:dyDescent="0.3">
      <c r="B56" s="14">
        <v>16</v>
      </c>
      <c r="C56" s="12" t="s">
        <v>294</v>
      </c>
      <c r="D56" s="13" t="s">
        <v>296</v>
      </c>
      <c r="E56" s="13">
        <v>7</v>
      </c>
      <c r="F56" s="16" t="s">
        <v>774</v>
      </c>
    </row>
    <row r="57" spans="2:6" ht="15.75" thickBot="1" x14ac:dyDescent="0.3">
      <c r="B57" s="14">
        <v>17</v>
      </c>
      <c r="C57" s="12" t="s">
        <v>295</v>
      </c>
      <c r="D57" s="13" t="s">
        <v>296</v>
      </c>
      <c r="E57" s="13">
        <v>21</v>
      </c>
      <c r="F57" s="16" t="s">
        <v>297</v>
      </c>
    </row>
    <row r="58" spans="2:6" ht="15.75" thickBot="1" x14ac:dyDescent="0.3">
      <c r="B58" s="14">
        <v>18</v>
      </c>
      <c r="C58" s="12" t="s">
        <v>552</v>
      </c>
      <c r="D58" s="13" t="s">
        <v>296</v>
      </c>
      <c r="E58" s="13">
        <v>7</v>
      </c>
      <c r="F58" s="12" t="s">
        <v>773</v>
      </c>
    </row>
    <row r="59" spans="2:6" ht="24.75" thickBot="1" x14ac:dyDescent="0.3">
      <c r="B59" s="14">
        <v>19</v>
      </c>
      <c r="C59" s="12" t="s">
        <v>293</v>
      </c>
      <c r="D59" s="13" t="s">
        <v>286</v>
      </c>
      <c r="E59" s="13">
        <v>5</v>
      </c>
      <c r="F59" s="12" t="s">
        <v>553</v>
      </c>
    </row>
    <row r="60" spans="2:6" ht="24.75" thickBot="1" x14ac:dyDescent="0.3">
      <c r="B60" s="14">
        <v>20</v>
      </c>
      <c r="C60" s="12" t="s">
        <v>554</v>
      </c>
      <c r="D60" s="13" t="s">
        <v>555</v>
      </c>
      <c r="E60" s="13">
        <v>5</v>
      </c>
      <c r="F60" s="13" t="s">
        <v>771</v>
      </c>
    </row>
    <row r="61" spans="2:6" ht="24.75" thickBot="1" x14ac:dyDescent="0.3">
      <c r="B61" s="14">
        <v>21</v>
      </c>
      <c r="C61" s="12" t="s">
        <v>556</v>
      </c>
      <c r="D61" s="13" t="s">
        <v>289</v>
      </c>
      <c r="E61" s="13">
        <v>5</v>
      </c>
      <c r="F61" s="13" t="s">
        <v>298</v>
      </c>
    </row>
    <row r="62" spans="2:6" ht="24.75" thickBot="1" x14ac:dyDescent="0.3">
      <c r="B62" s="14">
        <v>22</v>
      </c>
      <c r="C62" s="12" t="s">
        <v>557</v>
      </c>
      <c r="D62" s="13" t="s">
        <v>558</v>
      </c>
      <c r="E62" s="13">
        <v>7</v>
      </c>
      <c r="F62" s="13" t="s">
        <v>559</v>
      </c>
    </row>
    <row r="63" spans="2:6" s="17" customFormat="1" ht="24.75" thickBot="1" x14ac:dyDescent="0.3">
      <c r="B63" s="50">
        <v>23</v>
      </c>
      <c r="C63" s="48" t="s">
        <v>560</v>
      </c>
      <c r="D63" s="49" t="s">
        <v>558</v>
      </c>
      <c r="E63" s="49">
        <v>7</v>
      </c>
      <c r="F63" s="49" t="s">
        <v>561</v>
      </c>
    </row>
    <row r="64" spans="2:6" s="17" customFormat="1" ht="24.75" thickBot="1" x14ac:dyDescent="0.3">
      <c r="B64" s="50">
        <v>24</v>
      </c>
      <c r="C64" s="48" t="s">
        <v>615</v>
      </c>
      <c r="D64" s="49" t="s">
        <v>555</v>
      </c>
      <c r="E64" s="49">
        <v>7</v>
      </c>
      <c r="F64" s="49" t="s">
        <v>779</v>
      </c>
    </row>
    <row r="65" spans="2:6" ht="24.75" thickBot="1" x14ac:dyDescent="0.3">
      <c r="B65" s="14">
        <v>24</v>
      </c>
      <c r="C65" s="12" t="s">
        <v>616</v>
      </c>
      <c r="D65" s="49" t="s">
        <v>555</v>
      </c>
      <c r="E65" s="13">
        <v>7</v>
      </c>
      <c r="F65" s="13" t="s">
        <v>780</v>
      </c>
    </row>
    <row r="66" spans="2:6" x14ac:dyDescent="0.25">
      <c r="B66" s="5"/>
      <c r="C66" s="6"/>
      <c r="D66" s="5"/>
      <c r="E66" s="5"/>
      <c r="F66" s="5"/>
    </row>
  </sheetData>
  <mergeCells count="5">
    <mergeCell ref="B23:G23"/>
    <mergeCell ref="B26:F26"/>
    <mergeCell ref="B40:F40"/>
    <mergeCell ref="E1:G1"/>
    <mergeCell ref="B2:G2"/>
  </mergeCells>
  <pageMargins left="0.11811023622047245" right="0.11811023622047245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9"/>
  <sheetViews>
    <sheetView view="pageBreakPreview" topLeftCell="A75" zoomScale="87" zoomScaleSheetLayoutView="87" workbookViewId="0">
      <selection activeCell="N18" sqref="N18"/>
    </sheetView>
  </sheetViews>
  <sheetFormatPr defaultColWidth="8.85546875" defaultRowHeight="15" x14ac:dyDescent="0.25"/>
  <cols>
    <col min="1" max="3" width="8.85546875" style="17"/>
    <col min="4" max="4" width="63.28515625" style="17" customWidth="1"/>
    <col min="5" max="5" width="10.28515625" style="17" customWidth="1"/>
    <col min="6" max="6" width="10" style="17" customWidth="1"/>
    <col min="7" max="7" width="11.140625" style="17" customWidth="1"/>
    <col min="8" max="8" width="11.28515625" style="17" customWidth="1"/>
    <col min="9" max="16384" width="8.85546875" style="17"/>
  </cols>
  <sheetData>
    <row r="1" spans="1:8" x14ac:dyDescent="0.25">
      <c r="E1" s="256" t="s">
        <v>352</v>
      </c>
      <c r="F1" s="256"/>
      <c r="G1" s="256"/>
      <c r="H1" s="256"/>
    </row>
    <row r="2" spans="1:8" s="18" customFormat="1" ht="42" customHeight="1" x14ac:dyDescent="0.25">
      <c r="A2" s="21" t="s">
        <v>45</v>
      </c>
      <c r="B2" s="252" t="s">
        <v>315</v>
      </c>
      <c r="C2" s="252"/>
      <c r="D2" s="252"/>
      <c r="E2" s="252"/>
      <c r="F2" s="252"/>
      <c r="G2" s="252"/>
    </row>
    <row r="3" spans="1:8" x14ac:dyDescent="0.25">
      <c r="A3" s="17" t="s">
        <v>314</v>
      </c>
    </row>
    <row r="5" spans="1:8" ht="60" x14ac:dyDescent="0.25">
      <c r="A5" s="22" t="s">
        <v>248</v>
      </c>
      <c r="B5" s="257" t="s">
        <v>301</v>
      </c>
      <c r="C5" s="257"/>
      <c r="D5" s="257"/>
      <c r="E5" s="22" t="s">
        <v>268</v>
      </c>
      <c r="F5" s="22" t="s">
        <v>307</v>
      </c>
      <c r="G5" s="22" t="s">
        <v>34</v>
      </c>
      <c r="H5" s="22" t="s">
        <v>302</v>
      </c>
    </row>
    <row r="6" spans="1:8" x14ac:dyDescent="0.25">
      <c r="A6" s="22">
        <v>1</v>
      </c>
      <c r="B6" s="258" t="s">
        <v>410</v>
      </c>
      <c r="C6" s="259"/>
      <c r="D6" s="260"/>
      <c r="E6" s="23" t="s">
        <v>303</v>
      </c>
      <c r="F6" s="24">
        <v>0.5</v>
      </c>
      <c r="G6" s="25">
        <f>100*1.04*1.05</f>
        <v>109.2</v>
      </c>
      <c r="H6" s="25">
        <f>F6*G6</f>
        <v>54.6</v>
      </c>
    </row>
    <row r="7" spans="1:8" x14ac:dyDescent="0.25">
      <c r="A7" s="22">
        <f>A6+1</f>
        <v>2</v>
      </c>
      <c r="B7" s="261" t="s">
        <v>510</v>
      </c>
      <c r="C7" s="261"/>
      <c r="D7" s="261"/>
      <c r="E7" s="23" t="s">
        <v>303</v>
      </c>
      <c r="F7" s="24">
        <v>0.5</v>
      </c>
      <c r="G7" s="25">
        <f>150*1.04*1.05</f>
        <v>163.80000000000001</v>
      </c>
      <c r="H7" s="25">
        <f>F7*G7</f>
        <v>81.900000000000006</v>
      </c>
    </row>
    <row r="8" spans="1:8" x14ac:dyDescent="0.25">
      <c r="A8" s="22">
        <f t="shared" ref="A8:A71" si="0">A7+1</f>
        <v>3</v>
      </c>
      <c r="B8" s="261" t="s">
        <v>411</v>
      </c>
      <c r="C8" s="261"/>
      <c r="D8" s="261"/>
      <c r="E8" s="23" t="s">
        <v>303</v>
      </c>
      <c r="F8" s="24">
        <v>0.5</v>
      </c>
      <c r="G8" s="25">
        <f>150*1.04*1.05</f>
        <v>163.80000000000001</v>
      </c>
      <c r="H8" s="25">
        <f>F8*G8</f>
        <v>81.900000000000006</v>
      </c>
    </row>
    <row r="9" spans="1:8" x14ac:dyDescent="0.25">
      <c r="A9" s="22">
        <f t="shared" si="0"/>
        <v>4</v>
      </c>
      <c r="B9" s="261" t="s">
        <v>454</v>
      </c>
      <c r="C9" s="261"/>
      <c r="D9" s="261"/>
      <c r="E9" s="23" t="s">
        <v>303</v>
      </c>
      <c r="F9" s="24">
        <v>0.5</v>
      </c>
      <c r="G9" s="25">
        <f>40*1.04*1.05</f>
        <v>43.680000000000007</v>
      </c>
      <c r="H9" s="25">
        <f t="shared" ref="H9:H52" si="1">F9*G9</f>
        <v>21.840000000000003</v>
      </c>
    </row>
    <row r="10" spans="1:8" x14ac:dyDescent="0.25">
      <c r="A10" s="22">
        <f t="shared" si="0"/>
        <v>5</v>
      </c>
      <c r="B10" s="261" t="s">
        <v>455</v>
      </c>
      <c r="C10" s="261"/>
      <c r="D10" s="261"/>
      <c r="E10" s="23" t="s">
        <v>303</v>
      </c>
      <c r="F10" s="24">
        <v>0.5</v>
      </c>
      <c r="G10" s="25">
        <f>80*1.04*1.05</f>
        <v>87.360000000000014</v>
      </c>
      <c r="H10" s="25">
        <f t="shared" si="1"/>
        <v>43.680000000000007</v>
      </c>
    </row>
    <row r="11" spans="1:8" x14ac:dyDescent="0.25">
      <c r="A11" s="22">
        <f t="shared" si="0"/>
        <v>6</v>
      </c>
      <c r="B11" s="261" t="s">
        <v>412</v>
      </c>
      <c r="C11" s="261"/>
      <c r="D11" s="261"/>
      <c r="E11" s="23" t="s">
        <v>303</v>
      </c>
      <c r="F11" s="24">
        <v>0.5</v>
      </c>
      <c r="G11" s="25">
        <f>50*1.04*1.05</f>
        <v>54.6</v>
      </c>
      <c r="H11" s="25">
        <f t="shared" si="1"/>
        <v>27.3</v>
      </c>
    </row>
    <row r="12" spans="1:8" x14ac:dyDescent="0.25">
      <c r="A12" s="22">
        <f t="shared" si="0"/>
        <v>7</v>
      </c>
      <c r="B12" s="261" t="s">
        <v>413</v>
      </c>
      <c r="C12" s="261"/>
      <c r="D12" s="261"/>
      <c r="E12" s="23" t="s">
        <v>303</v>
      </c>
      <c r="F12" s="24">
        <v>0.5</v>
      </c>
      <c r="G12" s="25">
        <f>100*1.4*1.05</f>
        <v>147</v>
      </c>
      <c r="H12" s="25">
        <f t="shared" si="1"/>
        <v>73.5</v>
      </c>
    </row>
    <row r="13" spans="1:8" ht="15.75" customHeight="1" x14ac:dyDescent="0.25">
      <c r="A13" s="22">
        <f t="shared" si="0"/>
        <v>8</v>
      </c>
      <c r="B13" s="258" t="s">
        <v>511</v>
      </c>
      <c r="C13" s="264"/>
      <c r="D13" s="265"/>
      <c r="E13" s="23" t="s">
        <v>303</v>
      </c>
      <c r="F13" s="24">
        <v>0.5</v>
      </c>
      <c r="G13" s="25">
        <f>150*1.04*1.05</f>
        <v>163.80000000000001</v>
      </c>
      <c r="H13" s="25">
        <f t="shared" si="1"/>
        <v>81.900000000000006</v>
      </c>
    </row>
    <row r="14" spans="1:8" ht="15.75" customHeight="1" x14ac:dyDescent="0.25">
      <c r="A14" s="22">
        <f t="shared" si="0"/>
        <v>9</v>
      </c>
      <c r="B14" s="261" t="s">
        <v>305</v>
      </c>
      <c r="C14" s="261"/>
      <c r="D14" s="261"/>
      <c r="E14" s="23" t="s">
        <v>414</v>
      </c>
      <c r="F14" s="24">
        <v>7</v>
      </c>
      <c r="G14" s="25">
        <f>560*1.05</f>
        <v>588</v>
      </c>
      <c r="H14" s="25">
        <f t="shared" si="1"/>
        <v>4116</v>
      </c>
    </row>
    <row r="15" spans="1:8" x14ac:dyDescent="0.25">
      <c r="A15" s="22">
        <f t="shared" si="0"/>
        <v>10</v>
      </c>
      <c r="B15" s="261" t="s">
        <v>306</v>
      </c>
      <c r="C15" s="261"/>
      <c r="D15" s="261"/>
      <c r="E15" s="23" t="s">
        <v>414</v>
      </c>
      <c r="F15" s="24">
        <v>0.2</v>
      </c>
      <c r="G15" s="25">
        <f>510*1.04*1.05</f>
        <v>556.91999999999996</v>
      </c>
      <c r="H15" s="25">
        <f t="shared" si="1"/>
        <v>111.384</v>
      </c>
    </row>
    <row r="16" spans="1:8" x14ac:dyDescent="0.25">
      <c r="A16" s="22">
        <f t="shared" si="0"/>
        <v>11</v>
      </c>
      <c r="B16" s="261" t="s">
        <v>456</v>
      </c>
      <c r="C16" s="261"/>
      <c r="D16" s="261"/>
      <c r="E16" s="23" t="s">
        <v>414</v>
      </c>
      <c r="F16" s="24">
        <v>0.2</v>
      </c>
      <c r="G16" s="25">
        <f>1100*1.04*1.05</f>
        <v>1201.2</v>
      </c>
      <c r="H16" s="25">
        <f t="shared" si="1"/>
        <v>240.24</v>
      </c>
    </row>
    <row r="17" spans="1:8" x14ac:dyDescent="0.25">
      <c r="A17" s="22">
        <f t="shared" si="0"/>
        <v>12</v>
      </c>
      <c r="B17" s="258" t="s">
        <v>457</v>
      </c>
      <c r="C17" s="262"/>
      <c r="D17" s="263"/>
      <c r="E17" s="23" t="s">
        <v>303</v>
      </c>
      <c r="F17" s="24">
        <v>0.2</v>
      </c>
      <c r="G17" s="25">
        <f>500*1.04*1.05</f>
        <v>546</v>
      </c>
      <c r="H17" s="25">
        <f>F17*G17</f>
        <v>109.2</v>
      </c>
    </row>
    <row r="18" spans="1:8" x14ac:dyDescent="0.25">
      <c r="A18" s="22">
        <f t="shared" si="0"/>
        <v>13</v>
      </c>
      <c r="B18" s="261" t="s">
        <v>415</v>
      </c>
      <c r="C18" s="261"/>
      <c r="D18" s="261"/>
      <c r="E18" s="23" t="s">
        <v>414</v>
      </c>
      <c r="F18" s="24">
        <v>0.2</v>
      </c>
      <c r="G18" s="25">
        <f>460*1.04*1.05</f>
        <v>502.32000000000005</v>
      </c>
      <c r="H18" s="25">
        <f t="shared" si="1"/>
        <v>100.46400000000001</v>
      </c>
    </row>
    <row r="19" spans="1:8" x14ac:dyDescent="0.25">
      <c r="A19" s="22">
        <f t="shared" si="0"/>
        <v>14</v>
      </c>
      <c r="B19" s="261" t="s">
        <v>416</v>
      </c>
      <c r="C19" s="261"/>
      <c r="D19" s="261"/>
      <c r="E19" s="23" t="s">
        <v>303</v>
      </c>
      <c r="F19" s="24">
        <v>0.3</v>
      </c>
      <c r="G19" s="25">
        <f>1500*1.04*1.05</f>
        <v>1638</v>
      </c>
      <c r="H19" s="25">
        <f t="shared" si="1"/>
        <v>491.4</v>
      </c>
    </row>
    <row r="20" spans="1:8" ht="15" customHeight="1" x14ac:dyDescent="0.25">
      <c r="A20" s="22">
        <f t="shared" si="0"/>
        <v>15</v>
      </c>
      <c r="B20" s="269" t="s">
        <v>617</v>
      </c>
      <c r="C20" s="270"/>
      <c r="D20" s="271"/>
      <c r="E20" s="23" t="s">
        <v>303</v>
      </c>
      <c r="F20" s="24">
        <v>0.5</v>
      </c>
      <c r="G20" s="25">
        <f>1000*1.04*1.05</f>
        <v>1092</v>
      </c>
      <c r="H20" s="25">
        <f t="shared" si="1"/>
        <v>546</v>
      </c>
    </row>
    <row r="21" spans="1:8" ht="15" customHeight="1" x14ac:dyDescent="0.25">
      <c r="A21" s="22">
        <f t="shared" si="0"/>
        <v>16</v>
      </c>
      <c r="B21" s="269" t="s">
        <v>618</v>
      </c>
      <c r="C21" s="270"/>
      <c r="D21" s="271"/>
      <c r="E21" s="23" t="s">
        <v>303</v>
      </c>
      <c r="F21" s="24">
        <v>0.5</v>
      </c>
      <c r="G21" s="25">
        <f>1000*1.04*1.05</f>
        <v>1092</v>
      </c>
      <c r="H21" s="25">
        <f t="shared" si="1"/>
        <v>546</v>
      </c>
    </row>
    <row r="22" spans="1:8" ht="15" customHeight="1" x14ac:dyDescent="0.25">
      <c r="A22" s="22">
        <f t="shared" si="0"/>
        <v>17</v>
      </c>
      <c r="B22" s="269" t="s">
        <v>449</v>
      </c>
      <c r="C22" s="270"/>
      <c r="D22" s="271"/>
      <c r="E22" s="23" t="s">
        <v>303</v>
      </c>
      <c r="F22" s="24">
        <v>1</v>
      </c>
      <c r="G22" s="25">
        <f>80*1.04*1.05</f>
        <v>87.360000000000014</v>
      </c>
      <c r="H22" s="25">
        <f t="shared" si="1"/>
        <v>87.360000000000014</v>
      </c>
    </row>
    <row r="23" spans="1:8" ht="15" customHeight="1" x14ac:dyDescent="0.25">
      <c r="A23" s="22">
        <f t="shared" si="0"/>
        <v>18</v>
      </c>
      <c r="B23" s="269" t="s">
        <v>458</v>
      </c>
      <c r="C23" s="270"/>
      <c r="D23" s="271"/>
      <c r="E23" s="23" t="s">
        <v>303</v>
      </c>
      <c r="F23" s="24">
        <v>0.2</v>
      </c>
      <c r="G23" s="25">
        <f>200*1.04*1.05</f>
        <v>218.4</v>
      </c>
      <c r="H23" s="25">
        <f t="shared" si="1"/>
        <v>43.680000000000007</v>
      </c>
    </row>
    <row r="24" spans="1:8" ht="14.25" customHeight="1" x14ac:dyDescent="0.25">
      <c r="A24" s="22">
        <f t="shared" si="0"/>
        <v>19</v>
      </c>
      <c r="B24" s="266" t="s">
        <v>474</v>
      </c>
      <c r="C24" s="267"/>
      <c r="D24" s="268"/>
      <c r="E24" s="23" t="s">
        <v>303</v>
      </c>
      <c r="F24" s="24">
        <v>1</v>
      </c>
      <c r="G24" s="25">
        <f>160*1.04*1.05</f>
        <v>174.72000000000003</v>
      </c>
      <c r="H24" s="25">
        <f t="shared" si="1"/>
        <v>174.72000000000003</v>
      </c>
    </row>
    <row r="25" spans="1:8" x14ac:dyDescent="0.25">
      <c r="A25" s="22">
        <f t="shared" si="0"/>
        <v>20</v>
      </c>
      <c r="B25" s="261" t="s">
        <v>417</v>
      </c>
      <c r="C25" s="261"/>
      <c r="D25" s="261"/>
      <c r="E25" s="23" t="s">
        <v>304</v>
      </c>
      <c r="F25" s="24">
        <v>1</v>
      </c>
      <c r="G25" s="25">
        <f>40*1.04*1.05</f>
        <v>43.680000000000007</v>
      </c>
      <c r="H25" s="25">
        <f t="shared" si="1"/>
        <v>43.680000000000007</v>
      </c>
    </row>
    <row r="26" spans="1:8" x14ac:dyDescent="0.25">
      <c r="A26" s="22">
        <f t="shared" si="0"/>
        <v>21</v>
      </c>
      <c r="B26" s="261" t="s">
        <v>418</v>
      </c>
      <c r="C26" s="261"/>
      <c r="D26" s="261"/>
      <c r="E26" s="23" t="s">
        <v>304</v>
      </c>
      <c r="F26" s="24">
        <v>1</v>
      </c>
      <c r="G26" s="25">
        <f>70*1.04*1.05</f>
        <v>76.44</v>
      </c>
      <c r="H26" s="25">
        <f t="shared" si="1"/>
        <v>76.44</v>
      </c>
    </row>
    <row r="27" spans="1:8" x14ac:dyDescent="0.25">
      <c r="A27" s="22">
        <f t="shared" si="0"/>
        <v>22</v>
      </c>
      <c r="B27" s="261" t="s">
        <v>619</v>
      </c>
      <c r="C27" s="261"/>
      <c r="D27" s="261"/>
      <c r="E27" s="23" t="s">
        <v>304</v>
      </c>
      <c r="F27" s="24">
        <v>1</v>
      </c>
      <c r="G27" s="25">
        <f>240*1.04*1.05</f>
        <v>262.08000000000004</v>
      </c>
      <c r="H27" s="25">
        <f t="shared" si="1"/>
        <v>262.08000000000004</v>
      </c>
    </row>
    <row r="28" spans="1:8" ht="15" customHeight="1" x14ac:dyDescent="0.25">
      <c r="A28" s="22">
        <f t="shared" si="0"/>
        <v>23</v>
      </c>
      <c r="B28" s="266" t="s">
        <v>620</v>
      </c>
      <c r="C28" s="267"/>
      <c r="D28" s="268"/>
      <c r="E28" s="23" t="s">
        <v>303</v>
      </c>
      <c r="F28" s="24">
        <v>1</v>
      </c>
      <c r="G28" s="25">
        <f>200*1.04*1.05</f>
        <v>218.4</v>
      </c>
      <c r="H28" s="25">
        <f t="shared" si="1"/>
        <v>218.4</v>
      </c>
    </row>
    <row r="29" spans="1:8" ht="15" customHeight="1" x14ac:dyDescent="0.25">
      <c r="A29" s="22">
        <f t="shared" si="0"/>
        <v>24</v>
      </c>
      <c r="B29" s="266" t="s">
        <v>621</v>
      </c>
      <c r="C29" s="267"/>
      <c r="D29" s="268"/>
      <c r="E29" s="23" t="s">
        <v>303</v>
      </c>
      <c r="F29" s="24">
        <v>1</v>
      </c>
      <c r="G29" s="25">
        <f>50*1.04*1.05</f>
        <v>54.6</v>
      </c>
      <c r="H29" s="25">
        <f t="shared" si="1"/>
        <v>54.6</v>
      </c>
    </row>
    <row r="30" spans="1:8" x14ac:dyDescent="0.25">
      <c r="A30" s="22">
        <f t="shared" si="0"/>
        <v>25</v>
      </c>
      <c r="B30" s="261" t="s">
        <v>622</v>
      </c>
      <c r="C30" s="261"/>
      <c r="D30" s="261"/>
      <c r="E30" s="23" t="s">
        <v>303</v>
      </c>
      <c r="F30" s="24">
        <v>1</v>
      </c>
      <c r="G30" s="25">
        <f>80*1.04*1.05</f>
        <v>87.360000000000014</v>
      </c>
      <c r="H30" s="25">
        <f>F30*G30</f>
        <v>87.360000000000014</v>
      </c>
    </row>
    <row r="31" spans="1:8" x14ac:dyDescent="0.25">
      <c r="A31" s="22">
        <f t="shared" si="0"/>
        <v>26</v>
      </c>
      <c r="B31" s="261" t="s">
        <v>475</v>
      </c>
      <c r="C31" s="261"/>
      <c r="D31" s="261"/>
      <c r="E31" s="23" t="s">
        <v>303</v>
      </c>
      <c r="F31" s="24">
        <v>1</v>
      </c>
      <c r="G31" s="25">
        <f>160*1.04*1.05</f>
        <v>174.72000000000003</v>
      </c>
      <c r="H31" s="25">
        <f>F31*G31</f>
        <v>174.72000000000003</v>
      </c>
    </row>
    <row r="32" spans="1:8" x14ac:dyDescent="0.25">
      <c r="A32" s="22">
        <f t="shared" si="0"/>
        <v>27</v>
      </c>
      <c r="B32" s="261" t="s">
        <v>419</v>
      </c>
      <c r="C32" s="261"/>
      <c r="D32" s="261"/>
      <c r="E32" s="23" t="s">
        <v>303</v>
      </c>
      <c r="F32" s="24">
        <v>1</v>
      </c>
      <c r="G32" s="25">
        <f>20*1.04*1.05</f>
        <v>21.840000000000003</v>
      </c>
      <c r="H32" s="25">
        <f t="shared" si="1"/>
        <v>21.840000000000003</v>
      </c>
    </row>
    <row r="33" spans="1:8" ht="15" customHeight="1" x14ac:dyDescent="0.25">
      <c r="A33" s="22">
        <f t="shared" si="0"/>
        <v>28</v>
      </c>
      <c r="B33" s="266" t="s">
        <v>623</v>
      </c>
      <c r="C33" s="267"/>
      <c r="D33" s="268"/>
      <c r="E33" s="23" t="s">
        <v>304</v>
      </c>
      <c r="F33" s="24">
        <v>5</v>
      </c>
      <c r="G33" s="25">
        <f>7*1.04*1.05</f>
        <v>7.644000000000001</v>
      </c>
      <c r="H33" s="25">
        <f t="shared" si="1"/>
        <v>38.220000000000006</v>
      </c>
    </row>
    <row r="34" spans="1:8" ht="15" customHeight="1" x14ac:dyDescent="0.25">
      <c r="A34" s="22">
        <f t="shared" si="0"/>
        <v>29</v>
      </c>
      <c r="B34" s="266" t="s">
        <v>624</v>
      </c>
      <c r="C34" s="267"/>
      <c r="D34" s="268"/>
      <c r="E34" s="23" t="s">
        <v>304</v>
      </c>
      <c r="F34" s="24">
        <v>5</v>
      </c>
      <c r="G34" s="25">
        <f>5*1.04*1.05</f>
        <v>5.4600000000000009</v>
      </c>
      <c r="H34" s="25">
        <f t="shared" si="1"/>
        <v>27.300000000000004</v>
      </c>
    </row>
    <row r="35" spans="1:8" ht="15" customHeight="1" x14ac:dyDescent="0.25">
      <c r="A35" s="22">
        <f t="shared" si="0"/>
        <v>30</v>
      </c>
      <c r="B35" s="266" t="s">
        <v>450</v>
      </c>
      <c r="C35" s="267"/>
      <c r="D35" s="268"/>
      <c r="E35" s="23" t="s">
        <v>304</v>
      </c>
      <c r="F35" s="24">
        <v>5</v>
      </c>
      <c r="G35" s="25">
        <f>3*1.04*1.05</f>
        <v>3.2760000000000002</v>
      </c>
      <c r="H35" s="25">
        <f t="shared" si="1"/>
        <v>16.380000000000003</v>
      </c>
    </row>
    <row r="36" spans="1:8" x14ac:dyDescent="0.25">
      <c r="A36" s="22">
        <f t="shared" si="0"/>
        <v>31</v>
      </c>
      <c r="B36" s="258" t="s">
        <v>625</v>
      </c>
      <c r="C36" s="264"/>
      <c r="D36" s="265"/>
      <c r="E36" s="23" t="s">
        <v>303</v>
      </c>
      <c r="F36" s="24">
        <v>1</v>
      </c>
      <c r="G36" s="25">
        <f>85*1.04*1.05</f>
        <v>92.820000000000007</v>
      </c>
      <c r="H36" s="25">
        <f t="shared" si="1"/>
        <v>92.820000000000007</v>
      </c>
    </row>
    <row r="37" spans="1:8" x14ac:dyDescent="0.25">
      <c r="A37" s="22">
        <f t="shared" si="0"/>
        <v>32</v>
      </c>
      <c r="B37" s="258" t="s">
        <v>512</v>
      </c>
      <c r="C37" s="259"/>
      <c r="D37" s="260"/>
      <c r="E37" s="23" t="s">
        <v>303</v>
      </c>
      <c r="F37" s="24">
        <v>0.2</v>
      </c>
      <c r="G37" s="25">
        <f>85*1.04*1.05</f>
        <v>92.820000000000007</v>
      </c>
      <c r="H37" s="25">
        <f t="shared" si="1"/>
        <v>18.564000000000004</v>
      </c>
    </row>
    <row r="38" spans="1:8" x14ac:dyDescent="0.25">
      <c r="A38" s="22">
        <f t="shared" si="0"/>
        <v>33</v>
      </c>
      <c r="B38" s="261" t="s">
        <v>420</v>
      </c>
      <c r="C38" s="261"/>
      <c r="D38" s="261"/>
      <c r="E38" s="23" t="s">
        <v>303</v>
      </c>
      <c r="F38" s="24">
        <v>0.2</v>
      </c>
      <c r="G38" s="25">
        <f>70*1.04*1.05</f>
        <v>76.44</v>
      </c>
      <c r="H38" s="25">
        <f t="shared" si="1"/>
        <v>15.288</v>
      </c>
    </row>
    <row r="39" spans="1:8" x14ac:dyDescent="0.25">
      <c r="A39" s="22">
        <f t="shared" si="0"/>
        <v>34</v>
      </c>
      <c r="B39" s="261" t="s">
        <v>421</v>
      </c>
      <c r="C39" s="261"/>
      <c r="D39" s="261"/>
      <c r="E39" s="23" t="s">
        <v>303</v>
      </c>
      <c r="F39" s="24">
        <v>0.2</v>
      </c>
      <c r="G39" s="25">
        <f>140*1.04*1.05</f>
        <v>152.88</v>
      </c>
      <c r="H39" s="25">
        <f t="shared" si="1"/>
        <v>30.576000000000001</v>
      </c>
    </row>
    <row r="40" spans="1:8" x14ac:dyDescent="0.25">
      <c r="A40" s="22">
        <f t="shared" si="0"/>
        <v>35</v>
      </c>
      <c r="B40" s="261" t="s">
        <v>626</v>
      </c>
      <c r="C40" s="261"/>
      <c r="D40" s="261"/>
      <c r="E40" s="23" t="s">
        <v>303</v>
      </c>
      <c r="F40" s="24">
        <v>0.1</v>
      </c>
      <c r="G40" s="25">
        <f>300*1.04*1.05</f>
        <v>327.60000000000002</v>
      </c>
      <c r="H40" s="25">
        <f t="shared" si="1"/>
        <v>32.760000000000005</v>
      </c>
    </row>
    <row r="41" spans="1:8" x14ac:dyDescent="0.25">
      <c r="A41" s="22">
        <f t="shared" si="0"/>
        <v>36</v>
      </c>
      <c r="B41" s="261" t="s">
        <v>627</v>
      </c>
      <c r="C41" s="261"/>
      <c r="D41" s="261"/>
      <c r="E41" s="23" t="s">
        <v>303</v>
      </c>
      <c r="F41" s="24">
        <v>0.1</v>
      </c>
      <c r="G41" s="25">
        <f>700*1.04*1.05</f>
        <v>764.4</v>
      </c>
      <c r="H41" s="25">
        <f t="shared" si="1"/>
        <v>76.44</v>
      </c>
    </row>
    <row r="42" spans="1:8" x14ac:dyDescent="0.25">
      <c r="A42" s="22">
        <f t="shared" si="0"/>
        <v>37</v>
      </c>
      <c r="B42" s="258" t="s">
        <v>628</v>
      </c>
      <c r="C42" s="264"/>
      <c r="D42" s="265"/>
      <c r="E42" s="23" t="s">
        <v>304</v>
      </c>
      <c r="F42" s="24">
        <v>0.5</v>
      </c>
      <c r="G42" s="25">
        <f>50*1.04*1.05</f>
        <v>54.6</v>
      </c>
      <c r="H42" s="25">
        <f t="shared" si="1"/>
        <v>27.3</v>
      </c>
    </row>
    <row r="43" spans="1:8" x14ac:dyDescent="0.25">
      <c r="A43" s="22">
        <f t="shared" si="0"/>
        <v>38</v>
      </c>
      <c r="B43" s="258" t="s">
        <v>629</v>
      </c>
      <c r="C43" s="264"/>
      <c r="D43" s="265"/>
      <c r="E43" s="23" t="s">
        <v>304</v>
      </c>
      <c r="F43" s="24">
        <v>0.1</v>
      </c>
      <c r="G43" s="25">
        <f>110*1.04*1.05</f>
        <v>120.12</v>
      </c>
      <c r="H43" s="25">
        <f t="shared" si="1"/>
        <v>12.012</v>
      </c>
    </row>
    <row r="44" spans="1:8" ht="15" customHeight="1" x14ac:dyDescent="0.25">
      <c r="A44" s="22">
        <f t="shared" si="0"/>
        <v>39</v>
      </c>
      <c r="B44" s="258" t="s">
        <v>630</v>
      </c>
      <c r="C44" s="264"/>
      <c r="D44" s="265"/>
      <c r="E44" s="23" t="s">
        <v>303</v>
      </c>
      <c r="F44" s="24">
        <v>1</v>
      </c>
      <c r="G44" s="25">
        <f>33*1.04*1.05</f>
        <v>36.036000000000001</v>
      </c>
      <c r="H44" s="25">
        <f t="shared" si="1"/>
        <v>36.036000000000001</v>
      </c>
    </row>
    <row r="45" spans="1:8" ht="15" customHeight="1" x14ac:dyDescent="0.25">
      <c r="A45" s="22">
        <f t="shared" si="0"/>
        <v>40</v>
      </c>
      <c r="B45" s="261" t="s">
        <v>631</v>
      </c>
      <c r="C45" s="261"/>
      <c r="D45" s="261"/>
      <c r="E45" s="23" t="s">
        <v>303</v>
      </c>
      <c r="F45" s="24">
        <v>0.5</v>
      </c>
      <c r="G45" s="25">
        <f>150*1.04*1.05</f>
        <v>163.80000000000001</v>
      </c>
      <c r="H45" s="25">
        <f t="shared" si="1"/>
        <v>81.900000000000006</v>
      </c>
    </row>
    <row r="46" spans="1:8" x14ac:dyDescent="0.25">
      <c r="A46" s="22">
        <f t="shared" si="0"/>
        <v>41</v>
      </c>
      <c r="B46" s="261" t="s">
        <v>448</v>
      </c>
      <c r="C46" s="261"/>
      <c r="D46" s="261"/>
      <c r="E46" s="23" t="s">
        <v>303</v>
      </c>
      <c r="F46" s="24">
        <v>0.2</v>
      </c>
      <c r="G46" s="25">
        <f>45*1.04*1.05</f>
        <v>49.140000000000008</v>
      </c>
      <c r="H46" s="25">
        <f t="shared" si="1"/>
        <v>9.828000000000003</v>
      </c>
    </row>
    <row r="47" spans="1:8" x14ac:dyDescent="0.25">
      <c r="A47" s="22">
        <f t="shared" si="0"/>
        <v>42</v>
      </c>
      <c r="B47" s="261" t="s">
        <v>632</v>
      </c>
      <c r="C47" s="261"/>
      <c r="D47" s="261"/>
      <c r="E47" s="23" t="s">
        <v>303</v>
      </c>
      <c r="F47" s="24">
        <v>0.2</v>
      </c>
      <c r="G47" s="25">
        <f>200*1.04*1.05</f>
        <v>218.4</v>
      </c>
      <c r="H47" s="25">
        <f t="shared" si="1"/>
        <v>43.680000000000007</v>
      </c>
    </row>
    <row r="48" spans="1:8" x14ac:dyDescent="0.25">
      <c r="A48" s="22">
        <f t="shared" si="0"/>
        <v>43</v>
      </c>
      <c r="B48" s="261" t="s">
        <v>633</v>
      </c>
      <c r="C48" s="261"/>
      <c r="D48" s="261"/>
      <c r="E48" s="23" t="s">
        <v>303</v>
      </c>
      <c r="F48" s="24">
        <v>0.2</v>
      </c>
      <c r="G48" s="25">
        <f>300*1.04*1.05</f>
        <v>327.60000000000002</v>
      </c>
      <c r="H48" s="25">
        <f t="shared" si="1"/>
        <v>65.52000000000001</v>
      </c>
    </row>
    <row r="49" spans="1:8" x14ac:dyDescent="0.25">
      <c r="A49" s="22">
        <f t="shared" si="0"/>
        <v>44</v>
      </c>
      <c r="B49" s="258" t="s">
        <v>634</v>
      </c>
      <c r="C49" s="259"/>
      <c r="D49" s="260"/>
      <c r="E49" s="23" t="s">
        <v>303</v>
      </c>
      <c r="F49" s="24">
        <v>0.2</v>
      </c>
      <c r="G49" s="25">
        <f>100*1.04*1.05</f>
        <v>109.2</v>
      </c>
      <c r="H49" s="25">
        <f t="shared" si="1"/>
        <v>21.840000000000003</v>
      </c>
    </row>
    <row r="50" spans="1:8" x14ac:dyDescent="0.25">
      <c r="A50" s="22">
        <f t="shared" si="0"/>
        <v>45</v>
      </c>
      <c r="B50" s="258" t="s">
        <v>513</v>
      </c>
      <c r="C50" s="259"/>
      <c r="D50" s="260"/>
      <c r="E50" s="23" t="s">
        <v>303</v>
      </c>
      <c r="F50" s="24">
        <v>0.2</v>
      </c>
      <c r="G50" s="25">
        <f>100*1.04*1.05</f>
        <v>109.2</v>
      </c>
      <c r="H50" s="25">
        <f t="shared" si="1"/>
        <v>21.840000000000003</v>
      </c>
    </row>
    <row r="51" spans="1:8" x14ac:dyDescent="0.25">
      <c r="A51" s="22">
        <f t="shared" si="0"/>
        <v>46</v>
      </c>
      <c r="B51" s="258" t="s">
        <v>514</v>
      </c>
      <c r="C51" s="259"/>
      <c r="D51" s="260"/>
      <c r="E51" s="23" t="s">
        <v>303</v>
      </c>
      <c r="F51" s="24">
        <v>0.2</v>
      </c>
      <c r="G51" s="25">
        <f>110*1.04*1.05</f>
        <v>120.12</v>
      </c>
      <c r="H51" s="25">
        <f t="shared" si="1"/>
        <v>24.024000000000001</v>
      </c>
    </row>
    <row r="52" spans="1:8" ht="15" customHeight="1" x14ac:dyDescent="0.25">
      <c r="A52" s="22">
        <f t="shared" si="0"/>
        <v>47</v>
      </c>
      <c r="B52" s="266" t="s">
        <v>635</v>
      </c>
      <c r="C52" s="267"/>
      <c r="D52" s="268"/>
      <c r="E52" s="23" t="s">
        <v>303</v>
      </c>
      <c r="F52" s="24">
        <v>0.2</v>
      </c>
      <c r="G52" s="25">
        <f>500*1.04*1.05</f>
        <v>546</v>
      </c>
      <c r="H52" s="25">
        <f t="shared" si="1"/>
        <v>109.2</v>
      </c>
    </row>
    <row r="53" spans="1:8" x14ac:dyDescent="0.25">
      <c r="A53" s="22">
        <f t="shared" si="0"/>
        <v>48</v>
      </c>
      <c r="B53" s="261" t="s">
        <v>636</v>
      </c>
      <c r="C53" s="261"/>
      <c r="D53" s="261"/>
      <c r="E53" s="23" t="s">
        <v>303</v>
      </c>
      <c r="F53" s="24">
        <v>1</v>
      </c>
      <c r="G53" s="44">
        <f>50*1.04*1.05</f>
        <v>54.6</v>
      </c>
      <c r="H53" s="44">
        <f>F53*G53</f>
        <v>54.6</v>
      </c>
    </row>
    <row r="54" spans="1:8" x14ac:dyDescent="0.25">
      <c r="A54" s="22">
        <f t="shared" si="0"/>
        <v>49</v>
      </c>
      <c r="B54" s="261" t="s">
        <v>637</v>
      </c>
      <c r="C54" s="261"/>
      <c r="D54" s="261"/>
      <c r="E54" s="23" t="s">
        <v>303</v>
      </c>
      <c r="F54" s="24">
        <v>0.5</v>
      </c>
      <c r="G54" s="44">
        <f>100*1.04*1.05</f>
        <v>109.2</v>
      </c>
      <c r="H54" s="44">
        <f>F54*G54</f>
        <v>54.6</v>
      </c>
    </row>
    <row r="55" spans="1:8" x14ac:dyDescent="0.25">
      <c r="A55" s="22">
        <f t="shared" si="0"/>
        <v>50</v>
      </c>
      <c r="B55" s="261" t="s">
        <v>638</v>
      </c>
      <c r="C55" s="261"/>
      <c r="D55" s="261"/>
      <c r="E55" s="23" t="s">
        <v>303</v>
      </c>
      <c r="F55" s="24">
        <v>0.2</v>
      </c>
      <c r="G55" s="25">
        <f>70*1.04*1.05</f>
        <v>76.44</v>
      </c>
      <c r="H55" s="25">
        <f>F55*G55</f>
        <v>15.288</v>
      </c>
    </row>
    <row r="56" spans="1:8" x14ac:dyDescent="0.25">
      <c r="A56" s="22">
        <f t="shared" si="0"/>
        <v>51</v>
      </c>
      <c r="B56" s="261" t="s">
        <v>639</v>
      </c>
      <c r="C56" s="261"/>
      <c r="D56" s="261"/>
      <c r="E56" s="23" t="s">
        <v>304</v>
      </c>
      <c r="F56" s="24">
        <v>0.1</v>
      </c>
      <c r="G56" s="25">
        <f>300*1.04*1.05</f>
        <v>327.60000000000002</v>
      </c>
      <c r="H56" s="25">
        <f t="shared" ref="H56:H113" si="2">F56*G56</f>
        <v>32.760000000000005</v>
      </c>
    </row>
    <row r="57" spans="1:8" ht="16.5" customHeight="1" x14ac:dyDescent="0.25">
      <c r="A57" s="22">
        <f t="shared" si="0"/>
        <v>52</v>
      </c>
      <c r="B57" s="258" t="s">
        <v>422</v>
      </c>
      <c r="C57" s="264"/>
      <c r="D57" s="265"/>
      <c r="E57" s="23" t="s">
        <v>303</v>
      </c>
      <c r="F57" s="24">
        <v>0.1</v>
      </c>
      <c r="G57" s="25">
        <f>1100*1.04*1.05</f>
        <v>1201.2</v>
      </c>
      <c r="H57" s="25">
        <f t="shared" si="2"/>
        <v>120.12</v>
      </c>
    </row>
    <row r="58" spans="1:8" ht="16.5" customHeight="1" x14ac:dyDescent="0.25">
      <c r="A58" s="22">
        <f t="shared" si="0"/>
        <v>53</v>
      </c>
      <c r="B58" s="258" t="s">
        <v>476</v>
      </c>
      <c r="C58" s="264"/>
      <c r="D58" s="265"/>
      <c r="E58" s="23" t="s">
        <v>303</v>
      </c>
      <c r="F58" s="24">
        <v>0.2</v>
      </c>
      <c r="G58" s="25">
        <f>200*1.04*1.05</f>
        <v>218.4</v>
      </c>
      <c r="H58" s="25">
        <f t="shared" si="2"/>
        <v>43.680000000000007</v>
      </c>
    </row>
    <row r="59" spans="1:8" ht="16.5" customHeight="1" x14ac:dyDescent="0.25">
      <c r="A59" s="22">
        <f t="shared" si="0"/>
        <v>54</v>
      </c>
      <c r="B59" s="258" t="s">
        <v>451</v>
      </c>
      <c r="C59" s="264"/>
      <c r="D59" s="265"/>
      <c r="E59" s="23" t="s">
        <v>303</v>
      </c>
      <c r="F59" s="24">
        <v>0.2</v>
      </c>
      <c r="G59" s="25">
        <f>400*1.04*1.05</f>
        <v>436.8</v>
      </c>
      <c r="H59" s="25">
        <f t="shared" si="2"/>
        <v>87.360000000000014</v>
      </c>
    </row>
    <row r="60" spans="1:8" ht="15" customHeight="1" x14ac:dyDescent="0.25">
      <c r="A60" s="22">
        <f t="shared" si="0"/>
        <v>55</v>
      </c>
      <c r="B60" s="266" t="s">
        <v>640</v>
      </c>
      <c r="C60" s="267"/>
      <c r="D60" s="268"/>
      <c r="E60" s="23" t="s">
        <v>303</v>
      </c>
      <c r="F60" s="24">
        <v>0.2</v>
      </c>
      <c r="G60" s="25">
        <f>100*1.04*1.05</f>
        <v>109.2</v>
      </c>
      <c r="H60" s="25">
        <f t="shared" si="2"/>
        <v>21.840000000000003</v>
      </c>
    </row>
    <row r="61" spans="1:8" x14ac:dyDescent="0.25">
      <c r="A61" s="22">
        <f t="shared" si="0"/>
        <v>56</v>
      </c>
      <c r="B61" s="261" t="s">
        <v>641</v>
      </c>
      <c r="C61" s="261"/>
      <c r="D61" s="261"/>
      <c r="E61" s="23" t="s">
        <v>303</v>
      </c>
      <c r="F61" s="24">
        <v>0.5</v>
      </c>
      <c r="G61" s="25">
        <f>170*1.04*1.05</f>
        <v>185.64000000000001</v>
      </c>
      <c r="H61" s="25">
        <f t="shared" si="2"/>
        <v>92.820000000000007</v>
      </c>
    </row>
    <row r="62" spans="1:8" x14ac:dyDescent="0.25">
      <c r="A62" s="22">
        <f t="shared" si="0"/>
        <v>57</v>
      </c>
      <c r="B62" s="261" t="s">
        <v>642</v>
      </c>
      <c r="C62" s="261"/>
      <c r="D62" s="261"/>
      <c r="E62" s="23" t="s">
        <v>304</v>
      </c>
      <c r="F62" s="24">
        <v>0.1</v>
      </c>
      <c r="G62" s="25">
        <f>1200*1.04*1.05</f>
        <v>1310.4000000000001</v>
      </c>
      <c r="H62" s="25">
        <f t="shared" si="2"/>
        <v>131.04000000000002</v>
      </c>
    </row>
    <row r="63" spans="1:8" x14ac:dyDescent="0.25">
      <c r="A63" s="22">
        <f t="shared" si="0"/>
        <v>58</v>
      </c>
      <c r="B63" s="261" t="s">
        <v>643</v>
      </c>
      <c r="C63" s="261"/>
      <c r="D63" s="261"/>
      <c r="E63" s="23" t="s">
        <v>304</v>
      </c>
      <c r="F63" s="24">
        <v>0.1</v>
      </c>
      <c r="G63" s="25">
        <f>1000*1.04*1.05</f>
        <v>1092</v>
      </c>
      <c r="H63" s="25">
        <f t="shared" si="2"/>
        <v>109.2</v>
      </c>
    </row>
    <row r="64" spans="1:8" x14ac:dyDescent="0.25">
      <c r="A64" s="22">
        <f t="shared" si="0"/>
        <v>59</v>
      </c>
      <c r="B64" s="261" t="s">
        <v>515</v>
      </c>
      <c r="C64" s="261"/>
      <c r="D64" s="261"/>
      <c r="E64" s="23" t="s">
        <v>303</v>
      </c>
      <c r="F64" s="24">
        <v>1</v>
      </c>
      <c r="G64" s="25">
        <f>220*1.04*1.05</f>
        <v>240.24</v>
      </c>
      <c r="H64" s="25">
        <f t="shared" si="2"/>
        <v>240.24</v>
      </c>
    </row>
    <row r="65" spans="1:8" ht="15" customHeight="1" x14ac:dyDescent="0.25">
      <c r="A65" s="22">
        <f t="shared" si="0"/>
        <v>60</v>
      </c>
      <c r="B65" s="266" t="s">
        <v>516</v>
      </c>
      <c r="C65" s="267"/>
      <c r="D65" s="268"/>
      <c r="E65" s="23" t="s">
        <v>303</v>
      </c>
      <c r="F65" s="24">
        <v>1</v>
      </c>
      <c r="G65" s="25">
        <f>150*1.04*1.05</f>
        <v>163.80000000000001</v>
      </c>
      <c r="H65" s="25">
        <f t="shared" si="2"/>
        <v>163.80000000000001</v>
      </c>
    </row>
    <row r="66" spans="1:8" x14ac:dyDescent="0.25">
      <c r="A66" s="22">
        <f t="shared" si="0"/>
        <v>61</v>
      </c>
      <c r="B66" s="261" t="s">
        <v>644</v>
      </c>
      <c r="C66" s="261"/>
      <c r="D66" s="261"/>
      <c r="E66" s="23" t="s">
        <v>303</v>
      </c>
      <c r="F66" s="24">
        <v>0.5</v>
      </c>
      <c r="G66" s="25">
        <f>250*1.04*1.05</f>
        <v>273</v>
      </c>
      <c r="H66" s="25">
        <f t="shared" si="2"/>
        <v>136.5</v>
      </c>
    </row>
    <row r="67" spans="1:8" x14ac:dyDescent="0.25">
      <c r="A67" s="22">
        <f t="shared" si="0"/>
        <v>62</v>
      </c>
      <c r="B67" s="261" t="s">
        <v>645</v>
      </c>
      <c r="C67" s="261"/>
      <c r="D67" s="261"/>
      <c r="E67" s="23" t="s">
        <v>303</v>
      </c>
      <c r="F67" s="24">
        <v>1</v>
      </c>
      <c r="G67" s="25">
        <f>60*1.04*1.05</f>
        <v>65.52000000000001</v>
      </c>
      <c r="H67" s="25">
        <f t="shared" si="2"/>
        <v>65.52000000000001</v>
      </c>
    </row>
    <row r="68" spans="1:8" x14ac:dyDescent="0.25">
      <c r="A68" s="22">
        <f t="shared" si="0"/>
        <v>63</v>
      </c>
      <c r="B68" s="261" t="s">
        <v>646</v>
      </c>
      <c r="C68" s="261"/>
      <c r="D68" s="261"/>
      <c r="E68" s="23" t="s">
        <v>303</v>
      </c>
      <c r="F68" s="24">
        <v>1</v>
      </c>
      <c r="G68" s="25">
        <f>180*1.04*1.05</f>
        <v>196.56000000000003</v>
      </c>
      <c r="H68" s="25">
        <f t="shared" si="2"/>
        <v>196.56000000000003</v>
      </c>
    </row>
    <row r="69" spans="1:8" ht="15" customHeight="1" x14ac:dyDescent="0.25">
      <c r="A69" s="22">
        <f t="shared" si="0"/>
        <v>64</v>
      </c>
      <c r="B69" s="266" t="s">
        <v>647</v>
      </c>
      <c r="C69" s="267"/>
      <c r="D69" s="268"/>
      <c r="E69" s="23" t="s">
        <v>303</v>
      </c>
      <c r="F69" s="24">
        <v>1</v>
      </c>
      <c r="G69" s="25">
        <f>250*1.04*1.05</f>
        <v>273</v>
      </c>
      <c r="H69" s="25">
        <f t="shared" si="2"/>
        <v>273</v>
      </c>
    </row>
    <row r="70" spans="1:8" ht="15" customHeight="1" x14ac:dyDescent="0.25">
      <c r="A70" s="22">
        <f t="shared" si="0"/>
        <v>65</v>
      </c>
      <c r="B70" s="266" t="s">
        <v>648</v>
      </c>
      <c r="C70" s="267"/>
      <c r="D70" s="268"/>
      <c r="E70" s="23" t="s">
        <v>303</v>
      </c>
      <c r="F70" s="24">
        <v>1</v>
      </c>
      <c r="G70" s="25">
        <f>300*1.04*1.05</f>
        <v>327.60000000000002</v>
      </c>
      <c r="H70" s="25">
        <f t="shared" si="2"/>
        <v>327.60000000000002</v>
      </c>
    </row>
    <row r="71" spans="1:8" x14ac:dyDescent="0.25">
      <c r="A71" s="22">
        <f t="shared" si="0"/>
        <v>66</v>
      </c>
      <c r="B71" s="261" t="s">
        <v>477</v>
      </c>
      <c r="C71" s="261"/>
      <c r="D71" s="261"/>
      <c r="E71" s="23" t="s">
        <v>303</v>
      </c>
      <c r="F71" s="24">
        <v>2</v>
      </c>
      <c r="G71" s="44">
        <f>250*1.04*1.05</f>
        <v>273</v>
      </c>
      <c r="H71" s="44">
        <f t="shared" si="2"/>
        <v>546</v>
      </c>
    </row>
    <row r="72" spans="1:8" ht="27" customHeight="1" x14ac:dyDescent="0.25">
      <c r="A72" s="22">
        <f t="shared" ref="A72:A114" si="3">A71+1</f>
        <v>67</v>
      </c>
      <c r="B72" s="261" t="s">
        <v>478</v>
      </c>
      <c r="C72" s="261"/>
      <c r="D72" s="261"/>
      <c r="E72" s="23" t="s">
        <v>303</v>
      </c>
      <c r="F72" s="24">
        <v>2</v>
      </c>
      <c r="G72" s="44">
        <f>300*1.04*1.05</f>
        <v>327.60000000000002</v>
      </c>
      <c r="H72" s="44">
        <f t="shared" si="2"/>
        <v>655.20000000000005</v>
      </c>
    </row>
    <row r="73" spans="1:8" ht="27" customHeight="1" x14ac:dyDescent="0.25">
      <c r="A73" s="22">
        <f t="shared" si="3"/>
        <v>68</v>
      </c>
      <c r="B73" s="258" t="s">
        <v>789</v>
      </c>
      <c r="C73" s="259"/>
      <c r="D73" s="260"/>
      <c r="E73" s="23" t="s">
        <v>303</v>
      </c>
      <c r="F73" s="24">
        <v>4</v>
      </c>
      <c r="G73" s="44">
        <v>250</v>
      </c>
      <c r="H73" s="44">
        <f t="shared" si="2"/>
        <v>1000</v>
      </c>
    </row>
    <row r="74" spans="1:8" ht="27" customHeight="1" x14ac:dyDescent="0.25">
      <c r="A74" s="22">
        <f t="shared" si="3"/>
        <v>69</v>
      </c>
      <c r="B74" s="258" t="s">
        <v>790</v>
      </c>
      <c r="C74" s="259"/>
      <c r="D74" s="260"/>
      <c r="E74" s="23" t="s">
        <v>791</v>
      </c>
      <c r="F74" s="24">
        <v>4</v>
      </c>
      <c r="G74" s="44">
        <v>250</v>
      </c>
      <c r="H74" s="44">
        <f t="shared" si="2"/>
        <v>1000</v>
      </c>
    </row>
    <row r="75" spans="1:8" x14ac:dyDescent="0.25">
      <c r="A75" s="22">
        <f t="shared" si="3"/>
        <v>70</v>
      </c>
      <c r="B75" s="261" t="s">
        <v>480</v>
      </c>
      <c r="C75" s="261"/>
      <c r="D75" s="261"/>
      <c r="E75" s="23" t="s">
        <v>303</v>
      </c>
      <c r="F75" s="24">
        <v>5</v>
      </c>
      <c r="G75" s="25">
        <f>30*1.04*1.05</f>
        <v>32.760000000000005</v>
      </c>
      <c r="H75" s="25">
        <f t="shared" si="2"/>
        <v>163.80000000000001</v>
      </c>
    </row>
    <row r="76" spans="1:8" x14ac:dyDescent="0.25">
      <c r="A76" s="22">
        <f t="shared" si="3"/>
        <v>71</v>
      </c>
      <c r="B76" s="261" t="s">
        <v>649</v>
      </c>
      <c r="C76" s="261"/>
      <c r="D76" s="261"/>
      <c r="E76" s="23" t="s">
        <v>303</v>
      </c>
      <c r="F76" s="24">
        <v>5</v>
      </c>
      <c r="G76" s="25">
        <f>20*1.04*1.05</f>
        <v>21.840000000000003</v>
      </c>
      <c r="H76" s="25">
        <f t="shared" si="2"/>
        <v>109.20000000000002</v>
      </c>
    </row>
    <row r="77" spans="1:8" ht="15" customHeight="1" x14ac:dyDescent="0.25">
      <c r="A77" s="22">
        <f t="shared" si="3"/>
        <v>72</v>
      </c>
      <c r="B77" s="266" t="s">
        <v>479</v>
      </c>
      <c r="C77" s="267"/>
      <c r="D77" s="268"/>
      <c r="E77" s="23" t="s">
        <v>303</v>
      </c>
      <c r="F77" s="24">
        <v>1</v>
      </c>
      <c r="G77" s="25">
        <f>250*1.04*1.05</f>
        <v>273</v>
      </c>
      <c r="H77" s="25">
        <f t="shared" si="2"/>
        <v>273</v>
      </c>
    </row>
    <row r="78" spans="1:8" x14ac:dyDescent="0.25">
      <c r="A78" s="22">
        <f t="shared" si="3"/>
        <v>73</v>
      </c>
      <c r="B78" s="261" t="s">
        <v>483</v>
      </c>
      <c r="C78" s="261"/>
      <c r="D78" s="261"/>
      <c r="E78" s="23" t="s">
        <v>303</v>
      </c>
      <c r="F78" s="24">
        <v>1</v>
      </c>
      <c r="G78" s="25">
        <f>30*1.04*1.05</f>
        <v>32.760000000000005</v>
      </c>
      <c r="H78" s="25">
        <f t="shared" si="2"/>
        <v>32.760000000000005</v>
      </c>
    </row>
    <row r="79" spans="1:8" x14ac:dyDescent="0.25">
      <c r="A79" s="22">
        <f t="shared" si="3"/>
        <v>74</v>
      </c>
      <c r="B79" s="261" t="s">
        <v>481</v>
      </c>
      <c r="C79" s="261"/>
      <c r="D79" s="261"/>
      <c r="E79" s="23" t="s">
        <v>303</v>
      </c>
      <c r="F79" s="24">
        <v>1</v>
      </c>
      <c r="G79" s="25">
        <f>130*1.04*1.05</f>
        <v>141.96000000000004</v>
      </c>
      <c r="H79" s="25">
        <f t="shared" si="2"/>
        <v>141.96000000000004</v>
      </c>
    </row>
    <row r="80" spans="1:8" ht="15" customHeight="1" x14ac:dyDescent="0.25">
      <c r="A80" s="22">
        <f t="shared" si="3"/>
        <v>75</v>
      </c>
      <c r="B80" s="261" t="s">
        <v>482</v>
      </c>
      <c r="C80" s="261"/>
      <c r="D80" s="261"/>
      <c r="E80" s="23" t="s">
        <v>303</v>
      </c>
      <c r="F80" s="24">
        <v>1</v>
      </c>
      <c r="G80" s="25">
        <f>170*1.04*1.05</f>
        <v>185.64000000000001</v>
      </c>
      <c r="H80" s="25">
        <f t="shared" si="2"/>
        <v>185.64000000000001</v>
      </c>
    </row>
    <row r="81" spans="1:8" ht="15" customHeight="1" x14ac:dyDescent="0.25">
      <c r="A81" s="22">
        <f t="shared" si="3"/>
        <v>76</v>
      </c>
      <c r="B81" s="269" t="s">
        <v>650</v>
      </c>
      <c r="C81" s="270"/>
      <c r="D81" s="271"/>
      <c r="E81" s="23" t="s">
        <v>303</v>
      </c>
      <c r="F81" s="24">
        <v>0.5</v>
      </c>
      <c r="G81" s="25">
        <f>300*1.04*1.05</f>
        <v>327.60000000000002</v>
      </c>
      <c r="H81" s="25">
        <f t="shared" si="2"/>
        <v>163.80000000000001</v>
      </c>
    </row>
    <row r="82" spans="1:8" ht="15" customHeight="1" x14ac:dyDescent="0.25">
      <c r="A82" s="22">
        <f t="shared" si="3"/>
        <v>77</v>
      </c>
      <c r="B82" s="269" t="s">
        <v>651</v>
      </c>
      <c r="C82" s="270"/>
      <c r="D82" s="271"/>
      <c r="E82" s="23" t="s">
        <v>303</v>
      </c>
      <c r="F82" s="24">
        <v>0.5</v>
      </c>
      <c r="G82" s="25">
        <f>450*1.04*1.05</f>
        <v>491.40000000000003</v>
      </c>
      <c r="H82" s="25">
        <f t="shared" si="2"/>
        <v>245.70000000000002</v>
      </c>
    </row>
    <row r="83" spans="1:8" ht="15" customHeight="1" x14ac:dyDescent="0.25">
      <c r="A83" s="22">
        <f t="shared" si="3"/>
        <v>78</v>
      </c>
      <c r="B83" s="266" t="s">
        <v>652</v>
      </c>
      <c r="C83" s="267"/>
      <c r="D83" s="268"/>
      <c r="E83" s="23" t="s">
        <v>303</v>
      </c>
      <c r="F83" s="24">
        <v>0.2</v>
      </c>
      <c r="G83" s="25">
        <f>1000*1.04*1.05</f>
        <v>1092</v>
      </c>
      <c r="H83" s="25">
        <f>F83*G83</f>
        <v>218.4</v>
      </c>
    </row>
    <row r="84" spans="1:8" ht="15" customHeight="1" x14ac:dyDescent="0.25">
      <c r="A84" s="22">
        <f t="shared" si="3"/>
        <v>79</v>
      </c>
      <c r="B84" s="266" t="s">
        <v>653</v>
      </c>
      <c r="C84" s="267"/>
      <c r="D84" s="268"/>
      <c r="E84" s="23" t="s">
        <v>303</v>
      </c>
      <c r="F84" s="24">
        <v>0.1</v>
      </c>
      <c r="G84" s="25">
        <f>150*1.04*1.05</f>
        <v>163.80000000000001</v>
      </c>
      <c r="H84" s="25">
        <f t="shared" ref="H84" si="4">F84*G84</f>
        <v>16.380000000000003</v>
      </c>
    </row>
    <row r="85" spans="1:8" ht="15" customHeight="1" x14ac:dyDescent="0.25">
      <c r="A85" s="22">
        <f t="shared" si="3"/>
        <v>80</v>
      </c>
      <c r="B85" s="266" t="s">
        <v>423</v>
      </c>
      <c r="C85" s="267"/>
      <c r="D85" s="268"/>
      <c r="E85" s="23" t="s">
        <v>303</v>
      </c>
      <c r="F85" s="24">
        <v>0.1</v>
      </c>
      <c r="G85" s="25">
        <f>250*1.04*1.05</f>
        <v>273</v>
      </c>
      <c r="H85" s="25">
        <f t="shared" si="2"/>
        <v>27.3</v>
      </c>
    </row>
    <row r="86" spans="1:8" ht="15" customHeight="1" x14ac:dyDescent="0.25">
      <c r="A86" s="22">
        <f t="shared" si="3"/>
        <v>81</v>
      </c>
      <c r="B86" s="266" t="s">
        <v>654</v>
      </c>
      <c r="C86" s="267"/>
      <c r="D86" s="268"/>
      <c r="E86" s="23" t="s">
        <v>303</v>
      </c>
      <c r="F86" s="24">
        <v>0.1</v>
      </c>
      <c r="G86" s="25">
        <f>600*1.04*1.05</f>
        <v>655.20000000000005</v>
      </c>
      <c r="H86" s="25">
        <f t="shared" si="2"/>
        <v>65.52000000000001</v>
      </c>
    </row>
    <row r="87" spans="1:8" ht="15" customHeight="1" x14ac:dyDescent="0.25">
      <c r="A87" s="22">
        <f t="shared" si="3"/>
        <v>82</v>
      </c>
      <c r="B87" s="266" t="s">
        <v>655</v>
      </c>
      <c r="C87" s="267"/>
      <c r="D87" s="268"/>
      <c r="E87" s="23" t="s">
        <v>303</v>
      </c>
      <c r="F87" s="24">
        <v>0.1</v>
      </c>
      <c r="G87" s="25">
        <f>600*1.04*1.05</f>
        <v>655.20000000000005</v>
      </c>
      <c r="H87" s="25">
        <f t="shared" si="2"/>
        <v>65.52000000000001</v>
      </c>
    </row>
    <row r="88" spans="1:8" ht="15" customHeight="1" x14ac:dyDescent="0.25">
      <c r="A88" s="22">
        <f t="shared" si="3"/>
        <v>83</v>
      </c>
      <c r="B88" s="266" t="s">
        <v>656</v>
      </c>
      <c r="C88" s="267"/>
      <c r="D88" s="268"/>
      <c r="E88" s="23" t="s">
        <v>303</v>
      </c>
      <c r="F88" s="24">
        <v>0.1</v>
      </c>
      <c r="G88" s="25">
        <f>900*1.04*1.05</f>
        <v>982.80000000000007</v>
      </c>
      <c r="H88" s="25">
        <f t="shared" si="2"/>
        <v>98.280000000000015</v>
      </c>
    </row>
    <row r="89" spans="1:8" ht="15" customHeight="1" x14ac:dyDescent="0.25">
      <c r="A89" s="22">
        <f t="shared" si="3"/>
        <v>84</v>
      </c>
      <c r="B89" s="266" t="s">
        <v>657</v>
      </c>
      <c r="C89" s="267"/>
      <c r="D89" s="268"/>
      <c r="E89" s="23" t="s">
        <v>303</v>
      </c>
      <c r="F89" s="24">
        <v>0.1</v>
      </c>
      <c r="G89" s="25">
        <f>2300*1.04*1.05</f>
        <v>2511.6</v>
      </c>
      <c r="H89" s="25">
        <f t="shared" si="2"/>
        <v>251.16</v>
      </c>
    </row>
    <row r="90" spans="1:8" ht="15" customHeight="1" x14ac:dyDescent="0.25">
      <c r="A90" s="22">
        <f t="shared" si="3"/>
        <v>85</v>
      </c>
      <c r="B90" s="266" t="s">
        <v>452</v>
      </c>
      <c r="C90" s="267"/>
      <c r="D90" s="268"/>
      <c r="E90" s="23" t="s">
        <v>304</v>
      </c>
      <c r="F90" s="24">
        <v>0.2</v>
      </c>
      <c r="G90" s="25">
        <f>150*1.04*1.05</f>
        <v>163.80000000000001</v>
      </c>
      <c r="H90" s="25">
        <f t="shared" si="2"/>
        <v>32.760000000000005</v>
      </c>
    </row>
    <row r="91" spans="1:8" ht="15" customHeight="1" x14ac:dyDescent="0.25">
      <c r="A91" s="22">
        <f t="shared" si="3"/>
        <v>86</v>
      </c>
      <c r="B91" s="266" t="s">
        <v>453</v>
      </c>
      <c r="C91" s="267"/>
      <c r="D91" s="268"/>
      <c r="E91" s="23" t="s">
        <v>304</v>
      </c>
      <c r="F91" s="24">
        <v>0.2</v>
      </c>
      <c r="G91" s="25">
        <f>200*1.04*1.05</f>
        <v>218.4</v>
      </c>
      <c r="H91" s="25">
        <f t="shared" si="2"/>
        <v>43.680000000000007</v>
      </c>
    </row>
    <row r="92" spans="1:8" ht="15" customHeight="1" x14ac:dyDescent="0.25">
      <c r="A92" s="22">
        <f t="shared" si="3"/>
        <v>87</v>
      </c>
      <c r="B92" s="266" t="s">
        <v>658</v>
      </c>
      <c r="C92" s="267"/>
      <c r="D92" s="268"/>
      <c r="E92" s="23" t="s">
        <v>303</v>
      </c>
      <c r="F92" s="24">
        <v>0</v>
      </c>
      <c r="G92" s="25">
        <f>150*1.04*1.05</f>
        <v>163.80000000000001</v>
      </c>
      <c r="H92" s="25">
        <f t="shared" si="2"/>
        <v>0</v>
      </c>
    </row>
    <row r="93" spans="1:8" x14ac:dyDescent="0.25">
      <c r="A93" s="22">
        <f t="shared" si="3"/>
        <v>88</v>
      </c>
      <c r="B93" s="261" t="s">
        <v>484</v>
      </c>
      <c r="C93" s="261"/>
      <c r="D93" s="261"/>
      <c r="E93" s="23" t="s">
        <v>303</v>
      </c>
      <c r="F93" s="24">
        <v>1</v>
      </c>
      <c r="G93" s="25">
        <f>70*1.04*1.05</f>
        <v>76.44</v>
      </c>
      <c r="H93" s="25">
        <f t="shared" si="2"/>
        <v>76.44</v>
      </c>
    </row>
    <row r="94" spans="1:8" x14ac:dyDescent="0.25">
      <c r="A94" s="22">
        <f t="shared" si="3"/>
        <v>89</v>
      </c>
      <c r="B94" s="261" t="s">
        <v>485</v>
      </c>
      <c r="C94" s="261"/>
      <c r="D94" s="261"/>
      <c r="E94" s="23" t="s">
        <v>303</v>
      </c>
      <c r="F94" s="24">
        <v>1</v>
      </c>
      <c r="G94" s="25">
        <f>100*1.04*1.05</f>
        <v>109.2</v>
      </c>
      <c r="H94" s="25">
        <f t="shared" si="2"/>
        <v>109.2</v>
      </c>
    </row>
    <row r="95" spans="1:8" x14ac:dyDescent="0.25">
      <c r="A95" s="22">
        <f t="shared" si="3"/>
        <v>90</v>
      </c>
      <c r="B95" s="261" t="s">
        <v>486</v>
      </c>
      <c r="C95" s="261"/>
      <c r="D95" s="261"/>
      <c r="E95" s="23" t="s">
        <v>303</v>
      </c>
      <c r="F95" s="24">
        <v>1</v>
      </c>
      <c r="G95" s="25">
        <f>300*1.04*1.05</f>
        <v>327.60000000000002</v>
      </c>
      <c r="H95" s="25">
        <f t="shared" si="2"/>
        <v>327.60000000000002</v>
      </c>
    </row>
    <row r="96" spans="1:8" ht="27.75" customHeight="1" x14ac:dyDescent="0.25">
      <c r="A96" s="22">
        <f t="shared" si="3"/>
        <v>91</v>
      </c>
      <c r="B96" s="261" t="s">
        <v>487</v>
      </c>
      <c r="C96" s="261"/>
      <c r="D96" s="261"/>
      <c r="E96" s="23" t="s">
        <v>303</v>
      </c>
      <c r="F96" s="24">
        <v>1</v>
      </c>
      <c r="G96" s="25">
        <f>30*1.04*1.05</f>
        <v>32.760000000000005</v>
      </c>
      <c r="H96" s="25">
        <f t="shared" si="2"/>
        <v>32.760000000000005</v>
      </c>
    </row>
    <row r="97" spans="1:8" x14ac:dyDescent="0.25">
      <c r="A97" s="22">
        <f t="shared" si="3"/>
        <v>92</v>
      </c>
      <c r="B97" s="261" t="s">
        <v>659</v>
      </c>
      <c r="C97" s="261"/>
      <c r="D97" s="261"/>
      <c r="E97" s="23" t="s">
        <v>303</v>
      </c>
      <c r="F97" s="24">
        <v>0.2</v>
      </c>
      <c r="G97" s="25">
        <f>150*1.04*1.05</f>
        <v>163.80000000000001</v>
      </c>
      <c r="H97" s="25">
        <f t="shared" si="2"/>
        <v>32.760000000000005</v>
      </c>
    </row>
    <row r="98" spans="1:8" x14ac:dyDescent="0.25">
      <c r="A98" s="22">
        <f t="shared" si="3"/>
        <v>93</v>
      </c>
      <c r="B98" s="261" t="s">
        <v>660</v>
      </c>
      <c r="C98" s="261"/>
      <c r="D98" s="261"/>
      <c r="E98" s="23" t="s">
        <v>303</v>
      </c>
      <c r="F98" s="24">
        <v>0.2</v>
      </c>
      <c r="G98" s="25">
        <f>80*1.04*1.05</f>
        <v>87.360000000000014</v>
      </c>
      <c r="H98" s="25">
        <f t="shared" si="2"/>
        <v>17.472000000000005</v>
      </c>
    </row>
    <row r="99" spans="1:8" x14ac:dyDescent="0.25">
      <c r="A99" s="22">
        <f t="shared" si="3"/>
        <v>94</v>
      </c>
      <c r="B99" s="261" t="s">
        <v>661</v>
      </c>
      <c r="C99" s="261"/>
      <c r="D99" s="261"/>
      <c r="E99" s="23" t="s">
        <v>303</v>
      </c>
      <c r="F99" s="24">
        <v>0.2</v>
      </c>
      <c r="G99" s="25">
        <f>5000*1.04*1.05</f>
        <v>5460</v>
      </c>
      <c r="H99" s="25">
        <f t="shared" si="2"/>
        <v>1092</v>
      </c>
    </row>
    <row r="100" spans="1:8" x14ac:dyDescent="0.25">
      <c r="A100" s="22">
        <f t="shared" si="3"/>
        <v>95</v>
      </c>
      <c r="B100" s="261" t="s">
        <v>489</v>
      </c>
      <c r="C100" s="261"/>
      <c r="D100" s="261"/>
      <c r="E100" s="23" t="s">
        <v>304</v>
      </c>
      <c r="F100" s="24">
        <v>1</v>
      </c>
      <c r="G100" s="25">
        <f>20*1.04*1.05</f>
        <v>21.840000000000003</v>
      </c>
      <c r="H100" s="25">
        <f t="shared" si="2"/>
        <v>21.840000000000003</v>
      </c>
    </row>
    <row r="101" spans="1:8" x14ac:dyDescent="0.25">
      <c r="A101" s="22">
        <f t="shared" si="3"/>
        <v>96</v>
      </c>
      <c r="B101" s="261" t="s">
        <v>490</v>
      </c>
      <c r="C101" s="261"/>
      <c r="D101" s="261"/>
      <c r="E101" s="23" t="s">
        <v>304</v>
      </c>
      <c r="F101" s="24">
        <v>1</v>
      </c>
      <c r="G101" s="25">
        <f>40*1.04*1.05</f>
        <v>43.680000000000007</v>
      </c>
      <c r="H101" s="25">
        <f t="shared" si="2"/>
        <v>43.680000000000007</v>
      </c>
    </row>
    <row r="102" spans="1:8" x14ac:dyDescent="0.25">
      <c r="A102" s="22">
        <f t="shared" si="3"/>
        <v>97</v>
      </c>
      <c r="B102" s="261" t="s">
        <v>491</v>
      </c>
      <c r="C102" s="261"/>
      <c r="D102" s="261"/>
      <c r="E102" s="23" t="s">
        <v>304</v>
      </c>
      <c r="F102" s="24">
        <v>0.5</v>
      </c>
      <c r="G102" s="25">
        <f>140*1.04*1.05</f>
        <v>152.88</v>
      </c>
      <c r="H102" s="25">
        <f t="shared" si="2"/>
        <v>76.44</v>
      </c>
    </row>
    <row r="103" spans="1:8" ht="15" customHeight="1" x14ac:dyDescent="0.25">
      <c r="A103" s="22">
        <f t="shared" si="3"/>
        <v>98</v>
      </c>
      <c r="B103" s="261" t="s">
        <v>492</v>
      </c>
      <c r="C103" s="261"/>
      <c r="D103" s="261"/>
      <c r="E103" s="23" t="s">
        <v>304</v>
      </c>
      <c r="F103" s="24">
        <v>1</v>
      </c>
      <c r="G103" s="25">
        <f>40*1.04*1.05</f>
        <v>43.680000000000007</v>
      </c>
      <c r="H103" s="25">
        <f t="shared" si="2"/>
        <v>43.680000000000007</v>
      </c>
    </row>
    <row r="104" spans="1:8" x14ac:dyDescent="0.25">
      <c r="A104" s="22">
        <f t="shared" si="3"/>
        <v>99</v>
      </c>
      <c r="B104" s="261" t="s">
        <v>493</v>
      </c>
      <c r="C104" s="261"/>
      <c r="D104" s="261"/>
      <c r="E104" s="23" t="s">
        <v>304</v>
      </c>
      <c r="F104" s="24">
        <v>1</v>
      </c>
      <c r="G104" s="25">
        <f>20*1.04*1.05</f>
        <v>21.840000000000003</v>
      </c>
      <c r="H104" s="25">
        <f t="shared" si="2"/>
        <v>21.840000000000003</v>
      </c>
    </row>
    <row r="105" spans="1:8" x14ac:dyDescent="0.25">
      <c r="A105" s="22">
        <f t="shared" si="3"/>
        <v>100</v>
      </c>
      <c r="B105" s="261" t="s">
        <v>496</v>
      </c>
      <c r="C105" s="261"/>
      <c r="D105" s="261"/>
      <c r="E105" s="23" t="s">
        <v>303</v>
      </c>
      <c r="F105" s="24">
        <v>0.5</v>
      </c>
      <c r="G105" s="25">
        <f>550*1.04*1.05</f>
        <v>600.6</v>
      </c>
      <c r="H105" s="25">
        <f t="shared" si="2"/>
        <v>300.3</v>
      </c>
    </row>
    <row r="106" spans="1:8" x14ac:dyDescent="0.25">
      <c r="A106" s="22">
        <f t="shared" si="3"/>
        <v>101</v>
      </c>
      <c r="B106" s="261" t="s">
        <v>494</v>
      </c>
      <c r="C106" s="261"/>
      <c r="D106" s="261"/>
      <c r="E106" s="23" t="s">
        <v>303</v>
      </c>
      <c r="F106" s="24">
        <v>0.2</v>
      </c>
      <c r="G106" s="25">
        <f>500*1.04*1.05</f>
        <v>546</v>
      </c>
      <c r="H106" s="25">
        <f t="shared" si="2"/>
        <v>109.2</v>
      </c>
    </row>
    <row r="107" spans="1:8" x14ac:dyDescent="0.25">
      <c r="A107" s="22">
        <f t="shared" si="3"/>
        <v>102</v>
      </c>
      <c r="B107" s="261" t="s">
        <v>495</v>
      </c>
      <c r="C107" s="261"/>
      <c r="D107" s="261"/>
      <c r="E107" s="23" t="s">
        <v>303</v>
      </c>
      <c r="F107" s="24">
        <v>0.2</v>
      </c>
      <c r="G107" s="25">
        <f>1000*1.04*1.05</f>
        <v>1092</v>
      </c>
      <c r="H107" s="25">
        <f t="shared" si="2"/>
        <v>218.4</v>
      </c>
    </row>
    <row r="108" spans="1:8" x14ac:dyDescent="0.25">
      <c r="A108" s="22">
        <f t="shared" si="3"/>
        <v>103</v>
      </c>
      <c r="B108" s="258" t="s">
        <v>517</v>
      </c>
      <c r="C108" s="264"/>
      <c r="D108" s="265"/>
      <c r="E108" s="23" t="s">
        <v>304</v>
      </c>
      <c r="F108" s="24">
        <v>0.2</v>
      </c>
      <c r="G108" s="44">
        <f>50*1.04*1.05</f>
        <v>54.6</v>
      </c>
      <c r="H108" s="44">
        <f t="shared" si="2"/>
        <v>10.920000000000002</v>
      </c>
    </row>
    <row r="109" spans="1:8" x14ac:dyDescent="0.25">
      <c r="A109" s="22">
        <f t="shared" si="3"/>
        <v>104</v>
      </c>
      <c r="B109" s="261" t="s">
        <v>488</v>
      </c>
      <c r="C109" s="261"/>
      <c r="D109" s="261"/>
      <c r="E109" s="23" t="s">
        <v>303</v>
      </c>
      <c r="F109" s="24">
        <v>1</v>
      </c>
      <c r="G109" s="25">
        <f>70*1.04*1.05</f>
        <v>76.44</v>
      </c>
      <c r="H109" s="25">
        <f t="shared" si="2"/>
        <v>76.44</v>
      </c>
    </row>
    <row r="110" spans="1:8" x14ac:dyDescent="0.25">
      <c r="A110" s="22">
        <f t="shared" si="3"/>
        <v>105</v>
      </c>
      <c r="B110" s="261" t="s">
        <v>662</v>
      </c>
      <c r="C110" s="261"/>
      <c r="D110" s="261"/>
      <c r="E110" s="23" t="s">
        <v>303</v>
      </c>
      <c r="F110" s="24">
        <v>1</v>
      </c>
      <c r="G110" s="25">
        <f>50*1.04*1.05</f>
        <v>54.6</v>
      </c>
      <c r="H110" s="25">
        <f t="shared" si="2"/>
        <v>54.6</v>
      </c>
    </row>
    <row r="111" spans="1:8" x14ac:dyDescent="0.25">
      <c r="A111" s="22">
        <f t="shared" si="3"/>
        <v>106</v>
      </c>
      <c r="B111" s="261" t="s">
        <v>663</v>
      </c>
      <c r="C111" s="261"/>
      <c r="D111" s="261"/>
      <c r="E111" s="23" t="s">
        <v>303</v>
      </c>
      <c r="F111" s="24">
        <v>1</v>
      </c>
      <c r="G111" s="25">
        <f>10*1.04*1.05</f>
        <v>10.920000000000002</v>
      </c>
      <c r="H111" s="25">
        <f t="shared" si="2"/>
        <v>10.920000000000002</v>
      </c>
    </row>
    <row r="112" spans="1:8" x14ac:dyDescent="0.25">
      <c r="A112" s="22">
        <f t="shared" si="3"/>
        <v>107</v>
      </c>
      <c r="B112" s="261" t="s">
        <v>664</v>
      </c>
      <c r="C112" s="261"/>
      <c r="D112" s="261"/>
      <c r="E112" s="23" t="s">
        <v>303</v>
      </c>
      <c r="F112" s="24">
        <v>0.5</v>
      </c>
      <c r="G112" s="25">
        <f>600*1.04*1.05</f>
        <v>655.20000000000005</v>
      </c>
      <c r="H112" s="25">
        <f t="shared" si="2"/>
        <v>327.60000000000002</v>
      </c>
    </row>
    <row r="113" spans="1:8" x14ac:dyDescent="0.25">
      <c r="A113" s="22">
        <f t="shared" si="3"/>
        <v>108</v>
      </c>
      <c r="B113" s="258" t="s">
        <v>424</v>
      </c>
      <c r="C113" s="264"/>
      <c r="D113" s="265"/>
      <c r="E113" s="23" t="s">
        <v>303</v>
      </c>
      <c r="F113" s="24">
        <v>0.5</v>
      </c>
      <c r="G113" s="25">
        <f>60*1.04*1.05</f>
        <v>65.52000000000001</v>
      </c>
      <c r="H113" s="25">
        <f t="shared" si="2"/>
        <v>32.760000000000005</v>
      </c>
    </row>
    <row r="114" spans="1:8" x14ac:dyDescent="0.25">
      <c r="A114" s="22">
        <f t="shared" si="3"/>
        <v>109</v>
      </c>
      <c r="B114" s="261" t="s">
        <v>665</v>
      </c>
      <c r="C114" s="261"/>
      <c r="D114" s="261"/>
      <c r="E114" s="23" t="s">
        <v>304</v>
      </c>
      <c r="F114" s="24">
        <v>2</v>
      </c>
      <c r="G114" s="25">
        <f>250*1.04*1.05</f>
        <v>273</v>
      </c>
      <c r="H114" s="25">
        <f>F114*G114</f>
        <v>546</v>
      </c>
    </row>
    <row r="115" spans="1:8" x14ac:dyDescent="0.25">
      <c r="A115" s="272" t="s">
        <v>4</v>
      </c>
      <c r="B115" s="273"/>
      <c r="C115" s="273"/>
      <c r="D115" s="273"/>
      <c r="E115" s="273"/>
      <c r="F115" s="273"/>
      <c r="G115" s="274"/>
      <c r="H115" s="26">
        <f>SUM(H6:H114)</f>
        <v>19859.155999999992</v>
      </c>
    </row>
    <row r="117" spans="1:8" ht="50.25" customHeight="1" x14ac:dyDescent="0.25">
      <c r="A117" s="275" t="s">
        <v>320</v>
      </c>
      <c r="B117" s="275"/>
      <c r="C117" s="275"/>
      <c r="D117" s="275"/>
      <c r="E117" s="275"/>
      <c r="F117" s="275"/>
      <c r="G117" s="275"/>
      <c r="H117" s="47">
        <f>H115*0.1</f>
        <v>1985.9155999999994</v>
      </c>
    </row>
    <row r="119" spans="1:8" x14ac:dyDescent="0.25">
      <c r="A119" s="18" t="s">
        <v>4</v>
      </c>
      <c r="B119" s="18"/>
      <c r="C119" s="18"/>
      <c r="D119" s="18"/>
      <c r="E119" s="18"/>
      <c r="F119" s="18"/>
      <c r="G119" s="18"/>
      <c r="H119" s="27">
        <f>H115+H117</f>
        <v>21845.071599999992</v>
      </c>
    </row>
  </sheetData>
  <mergeCells count="114">
    <mergeCell ref="B112:D112"/>
    <mergeCell ref="B113:D113"/>
    <mergeCell ref="B114:D114"/>
    <mergeCell ref="A115:G115"/>
    <mergeCell ref="A117:G117"/>
    <mergeCell ref="B106:D106"/>
    <mergeCell ref="B107:D107"/>
    <mergeCell ref="B108:D108"/>
    <mergeCell ref="B109:D109"/>
    <mergeCell ref="B110:D110"/>
    <mergeCell ref="B111:D111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68:D68"/>
    <mergeCell ref="B69:D69"/>
    <mergeCell ref="B70:D70"/>
    <mergeCell ref="B71:D71"/>
    <mergeCell ref="B72:D72"/>
    <mergeCell ref="B75:D75"/>
    <mergeCell ref="B73:D73"/>
    <mergeCell ref="B74:D74"/>
    <mergeCell ref="B62:D62"/>
    <mergeCell ref="B63:D63"/>
    <mergeCell ref="B64:D64"/>
    <mergeCell ref="B65:D65"/>
    <mergeCell ref="B66:D66"/>
    <mergeCell ref="B67:D67"/>
    <mergeCell ref="B56:D56"/>
    <mergeCell ref="B57:D57"/>
    <mergeCell ref="B58:D58"/>
    <mergeCell ref="B59:D59"/>
    <mergeCell ref="B60:D60"/>
    <mergeCell ref="B61:D61"/>
    <mergeCell ref="B50:D50"/>
    <mergeCell ref="B51:D51"/>
    <mergeCell ref="B52:D52"/>
    <mergeCell ref="B53:D53"/>
    <mergeCell ref="B54:D54"/>
    <mergeCell ref="B55:D55"/>
    <mergeCell ref="B44:D44"/>
    <mergeCell ref="B45:D45"/>
    <mergeCell ref="B46:D46"/>
    <mergeCell ref="B47:D47"/>
    <mergeCell ref="B48:D48"/>
    <mergeCell ref="B49:D49"/>
    <mergeCell ref="B38:D38"/>
    <mergeCell ref="B39:D39"/>
    <mergeCell ref="B40:D40"/>
    <mergeCell ref="B41:D41"/>
    <mergeCell ref="B42:D42"/>
    <mergeCell ref="B43:D43"/>
    <mergeCell ref="B32:D32"/>
    <mergeCell ref="B33:D33"/>
    <mergeCell ref="B34:D34"/>
    <mergeCell ref="B35:D35"/>
    <mergeCell ref="B36:D36"/>
    <mergeCell ref="B37:D37"/>
    <mergeCell ref="B27:D27"/>
    <mergeCell ref="B28:D28"/>
    <mergeCell ref="B29:D29"/>
    <mergeCell ref="B30:D30"/>
    <mergeCell ref="B31:D31"/>
    <mergeCell ref="B20:D20"/>
    <mergeCell ref="B21:D21"/>
    <mergeCell ref="B22:D22"/>
    <mergeCell ref="B23:D23"/>
    <mergeCell ref="B24:D24"/>
    <mergeCell ref="B25:D25"/>
    <mergeCell ref="B17:D17"/>
    <mergeCell ref="B18:D18"/>
    <mergeCell ref="B19:D19"/>
    <mergeCell ref="B9:D9"/>
    <mergeCell ref="B10:D10"/>
    <mergeCell ref="B11:D11"/>
    <mergeCell ref="B12:D12"/>
    <mergeCell ref="B13:D13"/>
    <mergeCell ref="B26:D26"/>
    <mergeCell ref="E1:H1"/>
    <mergeCell ref="B2:G2"/>
    <mergeCell ref="B5:D5"/>
    <mergeCell ref="B6:D6"/>
    <mergeCell ref="B7:D7"/>
    <mergeCell ref="B8:D8"/>
    <mergeCell ref="B14:D14"/>
    <mergeCell ref="B15:D15"/>
    <mergeCell ref="B16:D1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1"/>
  <sheetViews>
    <sheetView tabSelected="1" view="pageBreakPreview" topLeftCell="A67" zoomScale="89" zoomScaleSheetLayoutView="89" workbookViewId="0">
      <selection activeCell="E93" sqref="E93"/>
    </sheetView>
  </sheetViews>
  <sheetFormatPr defaultColWidth="8.85546875" defaultRowHeight="13.9" customHeight="1" x14ac:dyDescent="0.25"/>
  <cols>
    <col min="1" max="1" width="4.7109375" style="33" customWidth="1"/>
    <col min="2" max="2" width="36.7109375" style="17" customWidth="1"/>
    <col min="3" max="3" width="44" style="17" customWidth="1"/>
    <col min="4" max="4" width="13.28515625" style="17" customWidth="1"/>
    <col min="5" max="5" width="8.85546875" style="17"/>
    <col min="6" max="6" width="11.28515625" style="17" customWidth="1"/>
    <col min="7" max="7" width="10.7109375" style="17" customWidth="1"/>
    <col min="8" max="16384" width="8.85546875" style="17"/>
  </cols>
  <sheetData>
    <row r="1" spans="1:7" ht="13.9" customHeight="1" x14ac:dyDescent="0.25">
      <c r="E1" s="256" t="s">
        <v>353</v>
      </c>
      <c r="F1" s="256"/>
      <c r="G1" s="256"/>
    </row>
    <row r="2" spans="1:7" s="21" customFormat="1" ht="32.25" customHeight="1" x14ac:dyDescent="0.25">
      <c r="A2" s="46" t="s">
        <v>45</v>
      </c>
      <c r="B2" s="276" t="s">
        <v>355</v>
      </c>
      <c r="C2" s="276"/>
      <c r="D2" s="276"/>
      <c r="E2" s="276"/>
      <c r="F2" s="276"/>
      <c r="G2" s="276"/>
    </row>
    <row r="3" spans="1:7" s="36" customFormat="1" ht="21.4" customHeight="1" x14ac:dyDescent="0.25">
      <c r="A3" s="36" t="s">
        <v>325</v>
      </c>
    </row>
    <row r="5" spans="1:7" ht="13.9" customHeight="1" x14ac:dyDescent="0.25">
      <c r="A5" s="277" t="s">
        <v>248</v>
      </c>
      <c r="B5" s="277" t="s">
        <v>301</v>
      </c>
      <c r="C5" s="277"/>
      <c r="D5" s="277" t="s">
        <v>268</v>
      </c>
      <c r="E5" s="277" t="s">
        <v>324</v>
      </c>
      <c r="F5" s="277" t="s">
        <v>34</v>
      </c>
      <c r="G5" s="277" t="s">
        <v>302</v>
      </c>
    </row>
    <row r="6" spans="1:7" ht="64.5" customHeight="1" x14ac:dyDescent="0.25">
      <c r="A6" s="277"/>
      <c r="B6" s="277"/>
      <c r="C6" s="277"/>
      <c r="D6" s="277"/>
      <c r="E6" s="277"/>
      <c r="F6" s="277"/>
      <c r="G6" s="277"/>
    </row>
    <row r="7" spans="1:7" ht="13.9" customHeight="1" x14ac:dyDescent="0.25">
      <c r="A7" s="34">
        <v>1</v>
      </c>
      <c r="B7" s="278" t="s">
        <v>497</v>
      </c>
      <c r="C7" s="278"/>
      <c r="D7" s="45" t="s">
        <v>322</v>
      </c>
      <c r="E7" s="45">
        <v>2</v>
      </c>
      <c r="F7" s="35">
        <f>1200*1.04*1.05</f>
        <v>1310.4000000000001</v>
      </c>
      <c r="G7" s="35">
        <f>E7*F7</f>
        <v>2620.8000000000002</v>
      </c>
    </row>
    <row r="8" spans="1:7" ht="15" x14ac:dyDescent="0.25">
      <c r="A8" s="34">
        <f>A7+1</f>
        <v>2</v>
      </c>
      <c r="B8" s="278" t="s">
        <v>666</v>
      </c>
      <c r="C8" s="278"/>
      <c r="D8" s="45" t="s">
        <v>322</v>
      </c>
      <c r="E8" s="39">
        <v>4</v>
      </c>
      <c r="F8" s="40">
        <f>450*1.04*1.05</f>
        <v>491.40000000000003</v>
      </c>
      <c r="G8" s="35">
        <f>E8*F8</f>
        <v>1965.6000000000001</v>
      </c>
    </row>
    <row r="9" spans="1:7" ht="15" x14ac:dyDescent="0.25">
      <c r="A9" s="34">
        <f t="shared" ref="A9:A72" si="0">A8+1</f>
        <v>3</v>
      </c>
      <c r="B9" s="278" t="s">
        <v>667</v>
      </c>
      <c r="C9" s="278"/>
      <c r="D9" s="45" t="s">
        <v>322</v>
      </c>
      <c r="E9" s="39">
        <v>4</v>
      </c>
      <c r="F9" s="40">
        <f>350*1.04*1.05</f>
        <v>382.2</v>
      </c>
      <c r="G9" s="35">
        <f>E9*F9</f>
        <v>1528.8</v>
      </c>
    </row>
    <row r="10" spans="1:7" ht="13.9" customHeight="1" x14ac:dyDescent="0.25">
      <c r="A10" s="34">
        <f t="shared" si="0"/>
        <v>4</v>
      </c>
      <c r="B10" s="278" t="s">
        <v>668</v>
      </c>
      <c r="C10" s="278"/>
      <c r="D10" s="45" t="s">
        <v>322</v>
      </c>
      <c r="E10" s="45">
        <v>4</v>
      </c>
      <c r="F10" s="35">
        <f>80*1.04*1.05</f>
        <v>87.360000000000014</v>
      </c>
      <c r="G10" s="35">
        <f t="shared" ref="G10:G105" si="1">E10*F10</f>
        <v>349.44000000000005</v>
      </c>
    </row>
    <row r="11" spans="1:7" ht="13.9" customHeight="1" x14ac:dyDescent="0.25">
      <c r="A11" s="34">
        <f t="shared" si="0"/>
        <v>5</v>
      </c>
      <c r="B11" s="278" t="s">
        <v>669</v>
      </c>
      <c r="C11" s="278"/>
      <c r="D11" s="45" t="s">
        <v>322</v>
      </c>
      <c r="E11" s="45">
        <v>4</v>
      </c>
      <c r="F11" s="35">
        <f>60*1.04*1.05</f>
        <v>65.52000000000001</v>
      </c>
      <c r="G11" s="35">
        <f t="shared" si="1"/>
        <v>262.08000000000004</v>
      </c>
    </row>
    <row r="12" spans="1:7" ht="13.9" customHeight="1" x14ac:dyDescent="0.25">
      <c r="A12" s="34">
        <f t="shared" si="0"/>
        <v>6</v>
      </c>
      <c r="B12" s="278" t="s">
        <v>426</v>
      </c>
      <c r="C12" s="278"/>
      <c r="D12" s="45" t="s">
        <v>322</v>
      </c>
      <c r="E12" s="45">
        <v>1</v>
      </c>
      <c r="F12" s="35">
        <f>140*1.04*1.05</f>
        <v>152.88</v>
      </c>
      <c r="G12" s="35">
        <f t="shared" si="1"/>
        <v>152.88</v>
      </c>
    </row>
    <row r="13" spans="1:7" ht="13.9" customHeight="1" x14ac:dyDescent="0.25">
      <c r="A13" s="34">
        <f t="shared" si="0"/>
        <v>7</v>
      </c>
      <c r="B13" s="278" t="s">
        <v>427</v>
      </c>
      <c r="C13" s="278"/>
      <c r="D13" s="45" t="s">
        <v>322</v>
      </c>
      <c r="E13" s="45">
        <v>1</v>
      </c>
      <c r="F13" s="35">
        <f>140*1.04*1.05</f>
        <v>152.88</v>
      </c>
      <c r="G13" s="35">
        <f t="shared" si="1"/>
        <v>152.88</v>
      </c>
    </row>
    <row r="14" spans="1:7" ht="13.9" customHeight="1" x14ac:dyDescent="0.25">
      <c r="A14" s="34">
        <f t="shared" si="0"/>
        <v>8</v>
      </c>
      <c r="B14" s="279" t="s">
        <v>670</v>
      </c>
      <c r="C14" s="279"/>
      <c r="D14" s="39" t="s">
        <v>322</v>
      </c>
      <c r="E14" s="39">
        <v>5</v>
      </c>
      <c r="F14" s="40">
        <f>20*1.04*1.05</f>
        <v>21.840000000000003</v>
      </c>
      <c r="G14" s="40">
        <f t="shared" si="1"/>
        <v>109.20000000000002</v>
      </c>
    </row>
    <row r="15" spans="1:7" ht="13.9" customHeight="1" x14ac:dyDescent="0.25">
      <c r="A15" s="34">
        <f t="shared" si="0"/>
        <v>9</v>
      </c>
      <c r="B15" s="279" t="s">
        <v>459</v>
      </c>
      <c r="C15" s="279"/>
      <c r="D15" s="39" t="s">
        <v>322</v>
      </c>
      <c r="E15" s="39">
        <v>1</v>
      </c>
      <c r="F15" s="40">
        <f>2800*1.04*1.5</f>
        <v>4368</v>
      </c>
      <c r="G15" s="40">
        <f t="shared" si="1"/>
        <v>4368</v>
      </c>
    </row>
    <row r="16" spans="1:7" ht="15" x14ac:dyDescent="0.25">
      <c r="A16" s="34">
        <f t="shared" si="0"/>
        <v>10</v>
      </c>
      <c r="B16" s="278" t="s">
        <v>671</v>
      </c>
      <c r="C16" s="278"/>
      <c r="D16" s="45" t="s">
        <v>425</v>
      </c>
      <c r="E16" s="45">
        <v>180</v>
      </c>
      <c r="F16" s="35">
        <f>180*1.04*1.05</f>
        <v>196.56000000000003</v>
      </c>
      <c r="G16" s="35">
        <f>E16*F16</f>
        <v>35380.800000000003</v>
      </c>
    </row>
    <row r="17" spans="1:7" ht="15" x14ac:dyDescent="0.25">
      <c r="A17" s="34">
        <f t="shared" si="0"/>
        <v>11</v>
      </c>
      <c r="B17" s="278" t="s">
        <v>672</v>
      </c>
      <c r="C17" s="278"/>
      <c r="D17" s="45" t="s">
        <v>425</v>
      </c>
      <c r="E17" s="45">
        <v>55</v>
      </c>
      <c r="F17" s="35">
        <f>80*1.04*1.05</f>
        <v>87.360000000000014</v>
      </c>
      <c r="G17" s="35">
        <f>E17*F17</f>
        <v>4804.8000000000011</v>
      </c>
    </row>
    <row r="18" spans="1:7" ht="15" x14ac:dyDescent="0.25">
      <c r="A18" s="34">
        <f t="shared" si="0"/>
        <v>12</v>
      </c>
      <c r="B18" s="278" t="s">
        <v>673</v>
      </c>
      <c r="C18" s="278"/>
      <c r="D18" s="45" t="s">
        <v>414</v>
      </c>
      <c r="E18" s="39">
        <v>140</v>
      </c>
      <c r="F18" s="40">
        <f>180*1.04*1.05</f>
        <v>196.56000000000003</v>
      </c>
      <c r="G18" s="40">
        <f>E18*F18</f>
        <v>27518.400000000005</v>
      </c>
    </row>
    <row r="19" spans="1:7" ht="13.9" customHeight="1" x14ac:dyDescent="0.25">
      <c r="A19" s="34">
        <f t="shared" si="0"/>
        <v>13</v>
      </c>
      <c r="B19" s="278" t="s">
        <v>674</v>
      </c>
      <c r="C19" s="278"/>
      <c r="D19" s="45" t="s">
        <v>322</v>
      </c>
      <c r="E19" s="45">
        <v>0.5</v>
      </c>
      <c r="F19" s="35">
        <f>1500*1.04*1.05</f>
        <v>1638</v>
      </c>
      <c r="G19" s="35">
        <f t="shared" ref="G19:G24" si="2">E19*F19</f>
        <v>819</v>
      </c>
    </row>
    <row r="20" spans="1:7" ht="13.9" customHeight="1" x14ac:dyDescent="0.25">
      <c r="A20" s="34">
        <f t="shared" si="0"/>
        <v>14</v>
      </c>
      <c r="B20" s="278" t="s">
        <v>675</v>
      </c>
      <c r="C20" s="278"/>
      <c r="D20" s="45" t="s">
        <v>322</v>
      </c>
      <c r="E20" s="45">
        <v>0.5</v>
      </c>
      <c r="F20" s="40">
        <f>1150*1.04*1.05</f>
        <v>1255.8</v>
      </c>
      <c r="G20" s="35">
        <f t="shared" si="2"/>
        <v>627.9</v>
      </c>
    </row>
    <row r="21" spans="1:7" ht="13.9" customHeight="1" x14ac:dyDescent="0.25">
      <c r="A21" s="34">
        <f t="shared" si="0"/>
        <v>15</v>
      </c>
      <c r="B21" s="278" t="s">
        <v>676</v>
      </c>
      <c r="C21" s="278"/>
      <c r="D21" s="45" t="s">
        <v>322</v>
      </c>
      <c r="E21" s="45">
        <v>1</v>
      </c>
      <c r="F21" s="40">
        <f>150*1.04*1.05</f>
        <v>163.80000000000001</v>
      </c>
      <c r="G21" s="35">
        <f t="shared" si="2"/>
        <v>163.80000000000001</v>
      </c>
    </row>
    <row r="22" spans="1:7" ht="13.9" customHeight="1" x14ac:dyDescent="0.25">
      <c r="A22" s="34">
        <f t="shared" si="0"/>
        <v>16</v>
      </c>
      <c r="B22" s="278" t="s">
        <v>677</v>
      </c>
      <c r="C22" s="278"/>
      <c r="D22" s="45" t="s">
        <v>322</v>
      </c>
      <c r="E22" s="45">
        <v>1</v>
      </c>
      <c r="F22" s="35">
        <f>500*1.04*1.05</f>
        <v>546</v>
      </c>
      <c r="G22" s="35">
        <f t="shared" si="2"/>
        <v>546</v>
      </c>
    </row>
    <row r="23" spans="1:7" ht="13.9" customHeight="1" x14ac:dyDescent="0.25">
      <c r="A23" s="34">
        <f t="shared" si="0"/>
        <v>17</v>
      </c>
      <c r="B23" s="278" t="s">
        <v>433</v>
      </c>
      <c r="C23" s="278"/>
      <c r="D23" s="45" t="s">
        <v>322</v>
      </c>
      <c r="E23" s="45">
        <v>1</v>
      </c>
      <c r="F23" s="35">
        <f>700*1.04*1.05</f>
        <v>764.4</v>
      </c>
      <c r="G23" s="35">
        <f t="shared" si="2"/>
        <v>764.4</v>
      </c>
    </row>
    <row r="24" spans="1:7" ht="13.9" customHeight="1" x14ac:dyDescent="0.25">
      <c r="A24" s="34">
        <f t="shared" si="0"/>
        <v>18</v>
      </c>
      <c r="B24" s="280" t="s">
        <v>792</v>
      </c>
      <c r="C24" s="281"/>
      <c r="D24" s="212" t="s">
        <v>793</v>
      </c>
      <c r="E24" s="28">
        <v>5</v>
      </c>
      <c r="F24" s="35">
        <v>60</v>
      </c>
      <c r="G24" s="35">
        <f t="shared" si="2"/>
        <v>300</v>
      </c>
    </row>
    <row r="25" spans="1:7" ht="13.9" customHeight="1" x14ac:dyDescent="0.25">
      <c r="A25" s="34">
        <f t="shared" si="0"/>
        <v>19</v>
      </c>
      <c r="B25" s="278" t="s">
        <v>460</v>
      </c>
      <c r="C25" s="278"/>
      <c r="D25" s="45" t="s">
        <v>322</v>
      </c>
      <c r="E25" s="45">
        <v>10</v>
      </c>
      <c r="F25" s="35">
        <f>20*1.04*1.05</f>
        <v>21.840000000000003</v>
      </c>
      <c r="G25" s="35">
        <f t="shared" si="1"/>
        <v>218.40000000000003</v>
      </c>
    </row>
    <row r="26" spans="1:7" ht="13.9" customHeight="1" x14ac:dyDescent="0.25">
      <c r="A26" s="34">
        <f t="shared" si="0"/>
        <v>20</v>
      </c>
      <c r="B26" s="278" t="s">
        <v>678</v>
      </c>
      <c r="C26" s="278"/>
      <c r="D26" s="45" t="s">
        <v>322</v>
      </c>
      <c r="E26" s="45">
        <v>3</v>
      </c>
      <c r="F26" s="35">
        <f>100*1.04*1.05</f>
        <v>109.2</v>
      </c>
      <c r="G26" s="35">
        <f t="shared" si="1"/>
        <v>327.60000000000002</v>
      </c>
    </row>
    <row r="27" spans="1:7" ht="13.9" customHeight="1" x14ac:dyDescent="0.25">
      <c r="A27" s="34">
        <f t="shared" si="0"/>
        <v>21</v>
      </c>
      <c r="B27" s="278" t="s">
        <v>679</v>
      </c>
      <c r="C27" s="278"/>
      <c r="D27" s="45" t="s">
        <v>322</v>
      </c>
      <c r="E27" s="45">
        <v>2</v>
      </c>
      <c r="F27" s="35">
        <f>2000*1.04*1.05</f>
        <v>2184</v>
      </c>
      <c r="G27" s="35">
        <f t="shared" si="1"/>
        <v>4368</v>
      </c>
    </row>
    <row r="28" spans="1:7" ht="13.9" customHeight="1" x14ac:dyDescent="0.25">
      <c r="A28" s="34">
        <f t="shared" si="0"/>
        <v>22</v>
      </c>
      <c r="B28" s="278" t="s">
        <v>680</v>
      </c>
      <c r="C28" s="278"/>
      <c r="D28" s="45" t="s">
        <v>322</v>
      </c>
      <c r="E28" s="45">
        <v>2</v>
      </c>
      <c r="F28" s="35">
        <f>2000*1.04*1.05</f>
        <v>2184</v>
      </c>
      <c r="G28" s="35">
        <f t="shared" si="1"/>
        <v>4368</v>
      </c>
    </row>
    <row r="29" spans="1:7" ht="13.9" customHeight="1" x14ac:dyDescent="0.25">
      <c r="A29" s="34">
        <f t="shared" si="0"/>
        <v>23</v>
      </c>
      <c r="B29" s="278" t="s">
        <v>461</v>
      </c>
      <c r="C29" s="278"/>
      <c r="D29" s="45" t="s">
        <v>322</v>
      </c>
      <c r="E29" s="45">
        <v>2</v>
      </c>
      <c r="F29" s="35">
        <f>300*1.04*1.05</f>
        <v>327.60000000000002</v>
      </c>
      <c r="G29" s="35">
        <f t="shared" si="1"/>
        <v>655.20000000000005</v>
      </c>
    </row>
    <row r="30" spans="1:7" ht="13.9" customHeight="1" x14ac:dyDescent="0.25">
      <c r="A30" s="34">
        <f t="shared" si="0"/>
        <v>24</v>
      </c>
      <c r="B30" s="278" t="s">
        <v>462</v>
      </c>
      <c r="C30" s="278"/>
      <c r="D30" s="45" t="s">
        <v>322</v>
      </c>
      <c r="E30" s="45">
        <v>1</v>
      </c>
      <c r="F30" s="35">
        <f>650*1.04*1.05</f>
        <v>709.80000000000007</v>
      </c>
      <c r="G30" s="35">
        <f t="shared" si="1"/>
        <v>709.80000000000007</v>
      </c>
    </row>
    <row r="31" spans="1:7" ht="13.9" customHeight="1" x14ac:dyDescent="0.25">
      <c r="A31" s="34">
        <f t="shared" si="0"/>
        <v>25</v>
      </c>
      <c r="B31" s="278" t="s">
        <v>681</v>
      </c>
      <c r="C31" s="278"/>
      <c r="D31" s="45" t="s">
        <v>682</v>
      </c>
      <c r="E31" s="45">
        <v>10</v>
      </c>
      <c r="F31" s="35">
        <f>100*1.04*1.05</f>
        <v>109.2</v>
      </c>
      <c r="G31" s="35">
        <f t="shared" si="1"/>
        <v>1092</v>
      </c>
    </row>
    <row r="32" spans="1:7" ht="13.9" customHeight="1" x14ac:dyDescent="0.25">
      <c r="A32" s="34">
        <f t="shared" si="0"/>
        <v>26</v>
      </c>
      <c r="B32" s="278" t="s">
        <v>435</v>
      </c>
      <c r="C32" s="278"/>
      <c r="D32" s="45" t="s">
        <v>322</v>
      </c>
      <c r="E32" s="45">
        <v>2</v>
      </c>
      <c r="F32" s="35">
        <f>750*1.04*1.05</f>
        <v>819</v>
      </c>
      <c r="G32" s="35">
        <f t="shared" si="1"/>
        <v>1638</v>
      </c>
    </row>
    <row r="33" spans="1:7" ht="13.9" customHeight="1" x14ac:dyDescent="0.25">
      <c r="A33" s="34">
        <f t="shared" si="0"/>
        <v>27</v>
      </c>
      <c r="B33" s="278" t="s">
        <v>434</v>
      </c>
      <c r="C33" s="278"/>
      <c r="D33" s="45" t="s">
        <v>322</v>
      </c>
      <c r="E33" s="45">
        <v>2</v>
      </c>
      <c r="F33" s="35">
        <f>450*1.04*1.05</f>
        <v>491.40000000000003</v>
      </c>
      <c r="G33" s="35">
        <f t="shared" si="1"/>
        <v>982.80000000000007</v>
      </c>
    </row>
    <row r="34" spans="1:7" ht="15" x14ac:dyDescent="0.25">
      <c r="A34" s="34">
        <f t="shared" si="0"/>
        <v>28</v>
      </c>
      <c r="B34" s="278" t="s">
        <v>683</v>
      </c>
      <c r="C34" s="278"/>
      <c r="D34" s="45" t="s">
        <v>322</v>
      </c>
      <c r="E34" s="45">
        <v>5</v>
      </c>
      <c r="F34" s="35">
        <f>80*1.04*1.05</f>
        <v>87.360000000000014</v>
      </c>
      <c r="G34" s="35">
        <f t="shared" si="1"/>
        <v>436.80000000000007</v>
      </c>
    </row>
    <row r="35" spans="1:7" ht="13.9" customHeight="1" x14ac:dyDescent="0.25">
      <c r="A35" s="34">
        <f t="shared" si="0"/>
        <v>29</v>
      </c>
      <c r="B35" s="278" t="s">
        <v>431</v>
      </c>
      <c r="C35" s="278"/>
      <c r="D35" s="45" t="s">
        <v>322</v>
      </c>
      <c r="E35" s="45">
        <v>2</v>
      </c>
      <c r="F35" s="35">
        <f>250*1.04*1.05</f>
        <v>273</v>
      </c>
      <c r="G35" s="35">
        <f t="shared" si="1"/>
        <v>546</v>
      </c>
    </row>
    <row r="36" spans="1:7" ht="13.9" customHeight="1" x14ac:dyDescent="0.25">
      <c r="A36" s="34">
        <f t="shared" si="0"/>
        <v>30</v>
      </c>
      <c r="B36" s="278" t="s">
        <v>684</v>
      </c>
      <c r="C36" s="278"/>
      <c r="D36" s="45" t="s">
        <v>322</v>
      </c>
      <c r="E36" s="31">
        <v>1</v>
      </c>
      <c r="F36" s="32">
        <f>150*1.04*1.05</f>
        <v>163.80000000000001</v>
      </c>
      <c r="G36" s="32">
        <f t="shared" si="1"/>
        <v>163.80000000000001</v>
      </c>
    </row>
    <row r="37" spans="1:7" ht="13.9" customHeight="1" x14ac:dyDescent="0.25">
      <c r="A37" s="34">
        <f t="shared" si="0"/>
        <v>31</v>
      </c>
      <c r="B37" s="280" t="s">
        <v>685</v>
      </c>
      <c r="C37" s="281"/>
      <c r="D37" s="45" t="s">
        <v>322</v>
      </c>
      <c r="E37" s="45">
        <v>1</v>
      </c>
      <c r="F37" s="35">
        <f>500*1.04*1.05</f>
        <v>546</v>
      </c>
      <c r="G37" s="35">
        <f t="shared" si="1"/>
        <v>546</v>
      </c>
    </row>
    <row r="38" spans="1:7" ht="13.9" customHeight="1" x14ac:dyDescent="0.25">
      <c r="A38" s="34">
        <f t="shared" si="0"/>
        <v>32</v>
      </c>
      <c r="B38" s="280" t="s">
        <v>686</v>
      </c>
      <c r="C38" s="281"/>
      <c r="D38" s="45" t="s">
        <v>322</v>
      </c>
      <c r="E38" s="45">
        <v>2</v>
      </c>
      <c r="F38" s="35">
        <f>850*1.04*1.05</f>
        <v>928.2</v>
      </c>
      <c r="G38" s="35">
        <f t="shared" si="1"/>
        <v>1856.4</v>
      </c>
    </row>
    <row r="39" spans="1:7" ht="12.75" customHeight="1" x14ac:dyDescent="0.25">
      <c r="A39" s="34">
        <f t="shared" si="0"/>
        <v>33</v>
      </c>
      <c r="B39" s="278" t="s">
        <v>687</v>
      </c>
      <c r="C39" s="278"/>
      <c r="D39" s="31" t="s">
        <v>322</v>
      </c>
      <c r="E39" s="31">
        <v>3</v>
      </c>
      <c r="F39" s="32">
        <f>300*1.04*1.05</f>
        <v>327.60000000000002</v>
      </c>
      <c r="G39" s="32">
        <f t="shared" si="1"/>
        <v>982.80000000000007</v>
      </c>
    </row>
    <row r="40" spans="1:7" ht="13.9" customHeight="1" x14ac:dyDescent="0.25">
      <c r="A40" s="34">
        <f t="shared" si="0"/>
        <v>34</v>
      </c>
      <c r="B40" s="278" t="s">
        <v>436</v>
      </c>
      <c r="C40" s="278"/>
      <c r="D40" s="45" t="s">
        <v>321</v>
      </c>
      <c r="E40" s="45">
        <v>0</v>
      </c>
      <c r="F40" s="35">
        <f>400*1.04*1.05</f>
        <v>436.8</v>
      </c>
      <c r="G40" s="35">
        <f t="shared" si="1"/>
        <v>0</v>
      </c>
    </row>
    <row r="41" spans="1:7" ht="13.9" customHeight="1" x14ac:dyDescent="0.25">
      <c r="A41" s="34">
        <f t="shared" si="0"/>
        <v>35</v>
      </c>
      <c r="B41" s="278" t="s">
        <v>688</v>
      </c>
      <c r="C41" s="278"/>
      <c r="D41" s="45" t="s">
        <v>321</v>
      </c>
      <c r="E41" s="45">
        <v>1</v>
      </c>
      <c r="F41" s="35">
        <f>200*1.04*1.05</f>
        <v>218.4</v>
      </c>
      <c r="G41" s="35">
        <f t="shared" si="1"/>
        <v>218.4</v>
      </c>
    </row>
    <row r="42" spans="1:7" ht="13.9" customHeight="1" x14ac:dyDescent="0.25">
      <c r="A42" s="34">
        <f t="shared" si="0"/>
        <v>36</v>
      </c>
      <c r="B42" s="278" t="s">
        <v>689</v>
      </c>
      <c r="C42" s="278"/>
      <c r="D42" s="45" t="s">
        <v>322</v>
      </c>
      <c r="E42" s="45">
        <v>2</v>
      </c>
      <c r="F42" s="35">
        <f>40*1.04*1.05</f>
        <v>43.680000000000007</v>
      </c>
      <c r="G42" s="35">
        <f t="shared" si="1"/>
        <v>87.360000000000014</v>
      </c>
    </row>
    <row r="43" spans="1:7" ht="13.9" customHeight="1" x14ac:dyDescent="0.25">
      <c r="A43" s="34">
        <f t="shared" si="0"/>
        <v>37</v>
      </c>
      <c r="B43" s="278" t="s">
        <v>429</v>
      </c>
      <c r="C43" s="278"/>
      <c r="D43" s="45" t="s">
        <v>322</v>
      </c>
      <c r="E43" s="45">
        <v>1</v>
      </c>
      <c r="F43" s="35">
        <f>710*1.04*1.05</f>
        <v>775.32</v>
      </c>
      <c r="G43" s="35">
        <f t="shared" si="1"/>
        <v>775.32</v>
      </c>
    </row>
    <row r="44" spans="1:7" ht="15" x14ac:dyDescent="0.25">
      <c r="A44" s="34">
        <f t="shared" si="0"/>
        <v>38</v>
      </c>
      <c r="B44" s="278" t="s">
        <v>690</v>
      </c>
      <c r="C44" s="278"/>
      <c r="D44" s="45" t="s">
        <v>322</v>
      </c>
      <c r="E44" s="45">
        <v>5</v>
      </c>
      <c r="F44" s="35">
        <f>180*1.04*1.05</f>
        <v>196.56000000000003</v>
      </c>
      <c r="G44" s="35">
        <f>E44*F44</f>
        <v>982.80000000000018</v>
      </c>
    </row>
    <row r="45" spans="1:7" ht="14.25" customHeight="1" x14ac:dyDescent="0.25">
      <c r="A45" s="34">
        <f t="shared" si="0"/>
        <v>39</v>
      </c>
      <c r="B45" s="278" t="s">
        <v>428</v>
      </c>
      <c r="C45" s="278"/>
      <c r="D45" s="45" t="s">
        <v>322</v>
      </c>
      <c r="E45" s="45">
        <v>5</v>
      </c>
      <c r="F45" s="35">
        <f>115*1.04*1.05</f>
        <v>125.58000000000001</v>
      </c>
      <c r="G45" s="35">
        <f t="shared" si="1"/>
        <v>627.90000000000009</v>
      </c>
    </row>
    <row r="46" spans="1:7" ht="13.9" customHeight="1" x14ac:dyDescent="0.25">
      <c r="A46" s="34">
        <f t="shared" si="0"/>
        <v>40</v>
      </c>
      <c r="B46" s="278" t="s">
        <v>498</v>
      </c>
      <c r="C46" s="278"/>
      <c r="D46" s="45" t="s">
        <v>322</v>
      </c>
      <c r="E46" s="45">
        <v>5</v>
      </c>
      <c r="F46" s="35">
        <f>250*1.04*1.05</f>
        <v>273</v>
      </c>
      <c r="G46" s="35">
        <f>E46*F46</f>
        <v>1365</v>
      </c>
    </row>
    <row r="47" spans="1:7" ht="31.9" customHeight="1" x14ac:dyDescent="0.25">
      <c r="A47" s="34">
        <f t="shared" si="0"/>
        <v>41</v>
      </c>
      <c r="B47" s="278" t="s">
        <v>691</v>
      </c>
      <c r="C47" s="278"/>
      <c r="D47" s="45" t="s">
        <v>322</v>
      </c>
      <c r="E47" s="45">
        <v>5</v>
      </c>
      <c r="F47" s="35">
        <f>360*1.04*1.05</f>
        <v>393.12000000000006</v>
      </c>
      <c r="G47" s="35">
        <f>E47*F47</f>
        <v>1965.6000000000004</v>
      </c>
    </row>
    <row r="48" spans="1:7" ht="15" x14ac:dyDescent="0.25">
      <c r="A48" s="34">
        <f t="shared" si="0"/>
        <v>42</v>
      </c>
      <c r="B48" s="278" t="s">
        <v>692</v>
      </c>
      <c r="C48" s="278"/>
      <c r="D48" s="45" t="s">
        <v>322</v>
      </c>
      <c r="E48" s="45">
        <v>2</v>
      </c>
      <c r="F48" s="35">
        <f>150*1.04*1.05</f>
        <v>163.80000000000001</v>
      </c>
      <c r="G48" s="35">
        <f>E48*F48</f>
        <v>327.60000000000002</v>
      </c>
    </row>
    <row r="49" spans="1:7" ht="15" x14ac:dyDescent="0.25">
      <c r="A49" s="34">
        <f t="shared" si="0"/>
        <v>43</v>
      </c>
      <c r="B49" s="278" t="s">
        <v>693</v>
      </c>
      <c r="C49" s="278"/>
      <c r="D49" s="45" t="s">
        <v>322</v>
      </c>
      <c r="E49" s="45">
        <v>2</v>
      </c>
      <c r="F49" s="35">
        <f>250*1.04*1.05</f>
        <v>273</v>
      </c>
      <c r="G49" s="35">
        <f t="shared" ref="G49:G50" si="3">E49*F49</f>
        <v>546</v>
      </c>
    </row>
    <row r="50" spans="1:7" ht="15" x14ac:dyDescent="0.25">
      <c r="A50" s="34">
        <f t="shared" si="0"/>
        <v>44</v>
      </c>
      <c r="B50" s="278" t="s">
        <v>694</v>
      </c>
      <c r="C50" s="278"/>
      <c r="D50" s="45" t="s">
        <v>322</v>
      </c>
      <c r="E50" s="45">
        <v>2</v>
      </c>
      <c r="F50" s="35">
        <f>250*1.04*1.05</f>
        <v>273</v>
      </c>
      <c r="G50" s="35">
        <f t="shared" si="3"/>
        <v>546</v>
      </c>
    </row>
    <row r="51" spans="1:7" ht="13.9" customHeight="1" x14ac:dyDescent="0.25">
      <c r="A51" s="34">
        <f t="shared" si="0"/>
        <v>45</v>
      </c>
      <c r="B51" s="278" t="s">
        <v>695</v>
      </c>
      <c r="C51" s="278"/>
      <c r="D51" s="45" t="s">
        <v>425</v>
      </c>
      <c r="E51" s="45">
        <v>20</v>
      </c>
      <c r="F51" s="35">
        <f>60*1.04*1.05</f>
        <v>65.52000000000001</v>
      </c>
      <c r="G51" s="35">
        <f>E51*F51</f>
        <v>1310.4000000000001</v>
      </c>
    </row>
    <row r="52" spans="1:7" ht="13.9" customHeight="1" x14ac:dyDescent="0.25">
      <c r="A52" s="34">
        <f t="shared" si="0"/>
        <v>46</v>
      </c>
      <c r="B52" s="278" t="s">
        <v>696</v>
      </c>
      <c r="C52" s="278"/>
      <c r="D52" s="45" t="s">
        <v>425</v>
      </c>
      <c r="E52" s="45">
        <v>10</v>
      </c>
      <c r="F52" s="35">
        <f>80*1.04*1.05</f>
        <v>87.360000000000014</v>
      </c>
      <c r="G52" s="35">
        <f t="shared" ref="G52" si="4">E52*F52</f>
        <v>873.60000000000014</v>
      </c>
    </row>
    <row r="53" spans="1:7" ht="15" customHeight="1" x14ac:dyDescent="0.25">
      <c r="A53" s="34">
        <f t="shared" si="0"/>
        <v>47</v>
      </c>
      <c r="B53" s="278" t="s">
        <v>697</v>
      </c>
      <c r="C53" s="278"/>
      <c r="D53" s="45" t="s">
        <v>322</v>
      </c>
      <c r="E53" s="39">
        <v>30</v>
      </c>
      <c r="F53" s="40">
        <f>30*1.04*1.05</f>
        <v>32.760000000000005</v>
      </c>
      <c r="G53" s="35">
        <f>E53*F53</f>
        <v>982.80000000000018</v>
      </c>
    </row>
    <row r="54" spans="1:7" ht="15" customHeight="1" x14ac:dyDescent="0.25">
      <c r="A54" s="34">
        <f t="shared" si="0"/>
        <v>48</v>
      </c>
      <c r="B54" s="278" t="s">
        <v>698</v>
      </c>
      <c r="C54" s="278"/>
      <c r="D54" s="45" t="s">
        <v>322</v>
      </c>
      <c r="E54" s="39">
        <v>15</v>
      </c>
      <c r="F54" s="40">
        <f>40*1.04*1.05</f>
        <v>43.680000000000007</v>
      </c>
      <c r="G54" s="35">
        <f>E54*F54</f>
        <v>655.20000000000005</v>
      </c>
    </row>
    <row r="55" spans="1:7" ht="15" x14ac:dyDescent="0.25">
      <c r="A55" s="34">
        <f t="shared" si="0"/>
        <v>49</v>
      </c>
      <c r="B55" s="278" t="s">
        <v>699</v>
      </c>
      <c r="C55" s="278"/>
      <c r="D55" s="45" t="s">
        <v>322</v>
      </c>
      <c r="E55" s="45">
        <v>1</v>
      </c>
      <c r="F55" s="35">
        <f>100*1.04*1.05</f>
        <v>109.2</v>
      </c>
      <c r="G55" s="35">
        <f t="shared" si="1"/>
        <v>109.2</v>
      </c>
    </row>
    <row r="56" spans="1:7" ht="15" x14ac:dyDescent="0.25">
      <c r="A56" s="34">
        <f t="shared" si="0"/>
        <v>50</v>
      </c>
      <c r="B56" s="280" t="s">
        <v>794</v>
      </c>
      <c r="C56" s="281"/>
      <c r="D56" s="212" t="s">
        <v>322</v>
      </c>
      <c r="E56" s="213">
        <v>6</v>
      </c>
      <c r="F56" s="35">
        <v>650</v>
      </c>
      <c r="G56" s="35">
        <f t="shared" si="1"/>
        <v>3900</v>
      </c>
    </row>
    <row r="57" spans="1:7" ht="15" x14ac:dyDescent="0.25">
      <c r="A57" s="34">
        <f t="shared" si="0"/>
        <v>51</v>
      </c>
      <c r="B57" s="280" t="s">
        <v>519</v>
      </c>
      <c r="C57" s="282"/>
      <c r="D57" s="45" t="s">
        <v>322</v>
      </c>
      <c r="E57" s="45">
        <v>1</v>
      </c>
      <c r="F57" s="35">
        <f>370*1.04*1.05</f>
        <v>404.04</v>
      </c>
      <c r="G57" s="35">
        <f>E57*F57</f>
        <v>404.04</v>
      </c>
    </row>
    <row r="58" spans="1:7" ht="13.9" customHeight="1" x14ac:dyDescent="0.25">
      <c r="A58" s="34">
        <f t="shared" si="0"/>
        <v>52</v>
      </c>
      <c r="B58" s="278" t="s">
        <v>518</v>
      </c>
      <c r="C58" s="278"/>
      <c r="D58" s="45" t="s">
        <v>322</v>
      </c>
      <c r="E58" s="45">
        <v>1</v>
      </c>
      <c r="F58" s="35">
        <f>210*1.04*1.05</f>
        <v>229.32000000000002</v>
      </c>
      <c r="G58" s="35">
        <f t="shared" si="1"/>
        <v>229.32000000000002</v>
      </c>
    </row>
    <row r="59" spans="1:7" ht="15" x14ac:dyDescent="0.25">
      <c r="A59" s="34">
        <f t="shared" si="0"/>
        <v>53</v>
      </c>
      <c r="B59" s="280" t="s">
        <v>499</v>
      </c>
      <c r="C59" s="282"/>
      <c r="D59" s="45" t="s">
        <v>322</v>
      </c>
      <c r="E59" s="45">
        <v>1</v>
      </c>
      <c r="F59" s="35">
        <f>130*1.04*1.05</f>
        <v>141.96000000000004</v>
      </c>
      <c r="G59" s="35">
        <f t="shared" si="1"/>
        <v>141.96000000000004</v>
      </c>
    </row>
    <row r="60" spans="1:7" ht="15" x14ac:dyDescent="0.25">
      <c r="A60" s="34">
        <f t="shared" si="0"/>
        <v>54</v>
      </c>
      <c r="B60" s="280" t="s">
        <v>700</v>
      </c>
      <c r="C60" s="282"/>
      <c r="D60" s="45" t="s">
        <v>322</v>
      </c>
      <c r="E60" s="45">
        <v>3</v>
      </c>
      <c r="F60" s="35">
        <f>100*1.04*1.05</f>
        <v>109.2</v>
      </c>
      <c r="G60" s="35">
        <f t="shared" si="1"/>
        <v>327.60000000000002</v>
      </c>
    </row>
    <row r="61" spans="1:7" ht="15" x14ac:dyDescent="0.25">
      <c r="A61" s="34">
        <f t="shared" si="0"/>
        <v>55</v>
      </c>
      <c r="B61" s="280" t="s">
        <v>795</v>
      </c>
      <c r="C61" s="281"/>
      <c r="D61" s="212" t="s">
        <v>322</v>
      </c>
      <c r="E61" s="214">
        <v>10</v>
      </c>
      <c r="F61" s="32">
        <v>40</v>
      </c>
      <c r="G61" s="35">
        <f t="shared" si="1"/>
        <v>400</v>
      </c>
    </row>
    <row r="62" spans="1:7" ht="15" customHeight="1" x14ac:dyDescent="0.25">
      <c r="A62" s="34">
        <f t="shared" si="0"/>
        <v>56</v>
      </c>
      <c r="B62" s="280" t="s">
        <v>796</v>
      </c>
      <c r="C62" s="281"/>
      <c r="D62" s="212" t="s">
        <v>322</v>
      </c>
      <c r="E62" s="214">
        <v>3</v>
      </c>
      <c r="F62" s="32">
        <v>140</v>
      </c>
      <c r="G62" s="35">
        <f t="shared" si="1"/>
        <v>420</v>
      </c>
    </row>
    <row r="63" spans="1:7" ht="29.25" customHeight="1" x14ac:dyDescent="0.25">
      <c r="A63" s="34">
        <f t="shared" si="0"/>
        <v>57</v>
      </c>
      <c r="B63" s="283" t="s">
        <v>500</v>
      </c>
      <c r="C63" s="284"/>
      <c r="D63" s="39" t="s">
        <v>323</v>
      </c>
      <c r="E63" s="41">
        <v>5</v>
      </c>
      <c r="F63" s="42">
        <f>130*1.04*1.05</f>
        <v>141.96000000000004</v>
      </c>
      <c r="G63" s="32">
        <f t="shared" si="1"/>
        <v>709.80000000000018</v>
      </c>
    </row>
    <row r="64" spans="1:7" ht="13.9" customHeight="1" x14ac:dyDescent="0.25">
      <c r="A64" s="34">
        <f t="shared" si="0"/>
        <v>58</v>
      </c>
      <c r="B64" s="285" t="s">
        <v>501</v>
      </c>
      <c r="C64" s="286"/>
      <c r="D64" s="39" t="s">
        <v>323</v>
      </c>
      <c r="E64" s="41">
        <v>1</v>
      </c>
      <c r="F64" s="42">
        <f>20*1.04*1.05</f>
        <v>21.840000000000003</v>
      </c>
      <c r="G64" s="32">
        <f>E64*F64</f>
        <v>21.840000000000003</v>
      </c>
    </row>
    <row r="65" spans="1:7" ht="15" x14ac:dyDescent="0.25">
      <c r="A65" s="34">
        <f t="shared" si="0"/>
        <v>59</v>
      </c>
      <c r="B65" s="285" t="s">
        <v>502</v>
      </c>
      <c r="C65" s="286"/>
      <c r="D65" s="39" t="s">
        <v>323</v>
      </c>
      <c r="E65" s="41">
        <v>1</v>
      </c>
      <c r="F65" s="42">
        <f>30*1.04*1.05</f>
        <v>32.760000000000005</v>
      </c>
      <c r="G65" s="32">
        <f t="shared" si="1"/>
        <v>32.760000000000005</v>
      </c>
    </row>
    <row r="66" spans="1:7" ht="15" x14ac:dyDescent="0.25">
      <c r="A66" s="34">
        <f t="shared" si="0"/>
        <v>60</v>
      </c>
      <c r="B66" s="285" t="s">
        <v>463</v>
      </c>
      <c r="C66" s="286"/>
      <c r="D66" s="39" t="s">
        <v>323</v>
      </c>
      <c r="E66" s="41">
        <v>5</v>
      </c>
      <c r="F66" s="42">
        <f>40*1.04*1.05</f>
        <v>43.680000000000007</v>
      </c>
      <c r="G66" s="32">
        <f t="shared" si="1"/>
        <v>218.40000000000003</v>
      </c>
    </row>
    <row r="67" spans="1:7" ht="13.9" customHeight="1" x14ac:dyDescent="0.25">
      <c r="A67" s="34">
        <f t="shared" si="0"/>
        <v>61</v>
      </c>
      <c r="B67" s="278" t="s">
        <v>464</v>
      </c>
      <c r="C67" s="278"/>
      <c r="D67" s="45" t="s">
        <v>322</v>
      </c>
      <c r="E67" s="45">
        <v>2</v>
      </c>
      <c r="F67" s="35">
        <f>200*1.04*1.05</f>
        <v>218.4</v>
      </c>
      <c r="G67" s="35">
        <f t="shared" si="1"/>
        <v>436.8</v>
      </c>
    </row>
    <row r="68" spans="1:7" ht="13.9" customHeight="1" x14ac:dyDescent="0.25">
      <c r="A68" s="34">
        <f t="shared" si="0"/>
        <v>62</v>
      </c>
      <c r="B68" s="280" t="s">
        <v>797</v>
      </c>
      <c r="C68" s="281"/>
      <c r="D68" s="212" t="s">
        <v>793</v>
      </c>
      <c r="E68" s="213">
        <v>8</v>
      </c>
      <c r="F68" s="35">
        <v>200</v>
      </c>
      <c r="G68" s="35">
        <f t="shared" si="1"/>
        <v>1600</v>
      </c>
    </row>
    <row r="69" spans="1:7" ht="13.9" customHeight="1" x14ac:dyDescent="0.25">
      <c r="A69" s="34">
        <f t="shared" si="0"/>
        <v>63</v>
      </c>
      <c r="B69" s="278" t="s">
        <v>432</v>
      </c>
      <c r="C69" s="278"/>
      <c r="D69" s="45" t="s">
        <v>322</v>
      </c>
      <c r="E69" s="45">
        <v>2</v>
      </c>
      <c r="F69" s="35">
        <f>500*1.04*1.05</f>
        <v>546</v>
      </c>
      <c r="G69" s="35">
        <f t="shared" si="1"/>
        <v>1092</v>
      </c>
    </row>
    <row r="70" spans="1:7" ht="13.9" customHeight="1" x14ac:dyDescent="0.25">
      <c r="A70" s="34">
        <f t="shared" si="0"/>
        <v>64</v>
      </c>
      <c r="B70" s="278" t="s">
        <v>701</v>
      </c>
      <c r="C70" s="278"/>
      <c r="D70" s="45" t="s">
        <v>322</v>
      </c>
      <c r="E70" s="45">
        <v>1</v>
      </c>
      <c r="F70" s="35">
        <f>260*1.04*1.05</f>
        <v>283.92000000000007</v>
      </c>
      <c r="G70" s="35">
        <f t="shared" si="1"/>
        <v>283.92000000000007</v>
      </c>
    </row>
    <row r="71" spans="1:7" ht="13.9" customHeight="1" x14ac:dyDescent="0.25">
      <c r="A71" s="34">
        <f t="shared" si="0"/>
        <v>65</v>
      </c>
      <c r="B71" s="278" t="s">
        <v>702</v>
      </c>
      <c r="C71" s="278"/>
      <c r="D71" s="45" t="s">
        <v>322</v>
      </c>
      <c r="E71" s="45">
        <v>1</v>
      </c>
      <c r="F71" s="35">
        <f>1510*1.04*1.05</f>
        <v>1648.92</v>
      </c>
      <c r="G71" s="35">
        <f t="shared" si="1"/>
        <v>1648.92</v>
      </c>
    </row>
    <row r="72" spans="1:7" ht="13.9" customHeight="1" x14ac:dyDescent="0.25">
      <c r="A72" s="34">
        <f t="shared" si="0"/>
        <v>66</v>
      </c>
      <c r="B72" s="278" t="s">
        <v>703</v>
      </c>
      <c r="C72" s="278"/>
      <c r="D72" s="45" t="s">
        <v>322</v>
      </c>
      <c r="E72" s="45">
        <v>1</v>
      </c>
      <c r="F72" s="35">
        <f>450*1.04*1.05</f>
        <v>491.40000000000003</v>
      </c>
      <c r="G72" s="35">
        <f t="shared" si="1"/>
        <v>491.40000000000003</v>
      </c>
    </row>
    <row r="73" spans="1:7" ht="13.9" customHeight="1" x14ac:dyDescent="0.25">
      <c r="A73" s="34">
        <f t="shared" ref="A73:A106" si="5">A72+1</f>
        <v>67</v>
      </c>
      <c r="B73" s="278" t="s">
        <v>430</v>
      </c>
      <c r="C73" s="278"/>
      <c r="D73" s="45" t="s">
        <v>322</v>
      </c>
      <c r="E73" s="45">
        <v>1</v>
      </c>
      <c r="F73" s="35">
        <f>500*1.04*1.05</f>
        <v>546</v>
      </c>
      <c r="G73" s="35">
        <f t="shared" si="1"/>
        <v>546</v>
      </c>
    </row>
    <row r="74" spans="1:7" s="29" customFormat="1" ht="15" x14ac:dyDescent="0.25">
      <c r="A74" s="34">
        <f t="shared" si="5"/>
        <v>68</v>
      </c>
      <c r="B74" s="287" t="s">
        <v>704</v>
      </c>
      <c r="C74" s="287"/>
      <c r="D74" s="30" t="s">
        <v>322</v>
      </c>
      <c r="E74" s="30">
        <v>1</v>
      </c>
      <c r="F74" s="28">
        <f>320*1.04*1.05</f>
        <v>349.44000000000005</v>
      </c>
      <c r="G74" s="28">
        <f t="shared" si="1"/>
        <v>349.44000000000005</v>
      </c>
    </row>
    <row r="75" spans="1:7" s="29" customFormat="1" ht="15" x14ac:dyDescent="0.25">
      <c r="A75" s="34">
        <f t="shared" si="5"/>
        <v>69</v>
      </c>
      <c r="B75" s="288" t="s">
        <v>503</v>
      </c>
      <c r="C75" s="288"/>
      <c r="D75" s="30" t="s">
        <v>425</v>
      </c>
      <c r="E75" s="30">
        <v>2</v>
      </c>
      <c r="F75" s="28">
        <f>380*1.04*1.05</f>
        <v>414.96</v>
      </c>
      <c r="G75" s="28">
        <f t="shared" si="1"/>
        <v>829.92</v>
      </c>
    </row>
    <row r="76" spans="1:7" s="29" customFormat="1" ht="17.100000000000001" customHeight="1" x14ac:dyDescent="0.25">
      <c r="A76" s="34">
        <f t="shared" si="5"/>
        <v>70</v>
      </c>
      <c r="B76" s="288" t="s">
        <v>504</v>
      </c>
      <c r="C76" s="288"/>
      <c r="D76" s="30" t="s">
        <v>322</v>
      </c>
      <c r="E76" s="30">
        <v>3</v>
      </c>
      <c r="F76" s="28">
        <f>90*1.04*1.05</f>
        <v>98.280000000000015</v>
      </c>
      <c r="G76" s="28">
        <f t="shared" si="1"/>
        <v>294.84000000000003</v>
      </c>
    </row>
    <row r="77" spans="1:7" s="29" customFormat="1" ht="15" x14ac:dyDescent="0.25">
      <c r="A77" s="34">
        <f t="shared" si="5"/>
        <v>71</v>
      </c>
      <c r="B77" s="287" t="s">
        <v>505</v>
      </c>
      <c r="C77" s="287"/>
      <c r="D77" s="30" t="s">
        <v>321</v>
      </c>
      <c r="E77" s="30">
        <v>2</v>
      </c>
      <c r="F77" s="28">
        <f>80*1.04*1.05</f>
        <v>87.360000000000014</v>
      </c>
      <c r="G77" s="28">
        <f t="shared" si="1"/>
        <v>174.72000000000003</v>
      </c>
    </row>
    <row r="78" spans="1:7" s="29" customFormat="1" ht="15" x14ac:dyDescent="0.25">
      <c r="A78" s="34">
        <f t="shared" si="5"/>
        <v>72</v>
      </c>
      <c r="B78" s="287" t="s">
        <v>705</v>
      </c>
      <c r="C78" s="287"/>
      <c r="D78" s="30" t="s">
        <v>321</v>
      </c>
      <c r="E78" s="30">
        <v>5</v>
      </c>
      <c r="F78" s="28">
        <f>20*1.04*1.05</f>
        <v>21.840000000000003</v>
      </c>
      <c r="G78" s="28">
        <f t="shared" si="1"/>
        <v>109.20000000000002</v>
      </c>
    </row>
    <row r="79" spans="1:7" s="29" customFormat="1" ht="28.5" customHeight="1" x14ac:dyDescent="0.25">
      <c r="A79" s="34">
        <f t="shared" si="5"/>
        <v>73</v>
      </c>
      <c r="B79" s="287" t="s">
        <v>706</v>
      </c>
      <c r="C79" s="287"/>
      <c r="D79" s="30" t="s">
        <v>321</v>
      </c>
      <c r="E79" s="30">
        <v>3</v>
      </c>
      <c r="F79" s="28">
        <f>100*1.04*1.05</f>
        <v>109.2</v>
      </c>
      <c r="G79" s="28">
        <f t="shared" si="1"/>
        <v>327.60000000000002</v>
      </c>
    </row>
    <row r="80" spans="1:7" s="29" customFormat="1" ht="28.5" customHeight="1" x14ac:dyDescent="0.25">
      <c r="A80" s="34">
        <f t="shared" si="5"/>
        <v>74</v>
      </c>
      <c r="B80" s="287" t="s">
        <v>707</v>
      </c>
      <c r="C80" s="287"/>
      <c r="D80" s="30" t="s">
        <v>321</v>
      </c>
      <c r="E80" s="30">
        <v>1</v>
      </c>
      <c r="F80" s="28">
        <f>8000*1.04*1.05</f>
        <v>8736</v>
      </c>
      <c r="G80" s="28">
        <f t="shared" si="1"/>
        <v>8736</v>
      </c>
    </row>
    <row r="81" spans="1:7" ht="13.9" customHeight="1" x14ac:dyDescent="0.25">
      <c r="A81" s="34">
        <f t="shared" si="5"/>
        <v>75</v>
      </c>
      <c r="B81" s="278" t="s">
        <v>520</v>
      </c>
      <c r="C81" s="278"/>
      <c r="D81" s="45" t="s">
        <v>322</v>
      </c>
      <c r="E81" s="45">
        <v>1</v>
      </c>
      <c r="F81" s="35">
        <f>750*1.04*1.05</f>
        <v>819</v>
      </c>
      <c r="G81" s="35">
        <f>E81*F81</f>
        <v>819</v>
      </c>
    </row>
    <row r="82" spans="1:7" ht="13.9" customHeight="1" x14ac:dyDescent="0.25">
      <c r="A82" s="34">
        <f t="shared" si="5"/>
        <v>76</v>
      </c>
      <c r="B82" s="280" t="s">
        <v>798</v>
      </c>
      <c r="C82" s="281"/>
      <c r="D82" s="212" t="s">
        <v>322</v>
      </c>
      <c r="E82" s="213">
        <v>5</v>
      </c>
      <c r="F82" s="35">
        <v>140</v>
      </c>
      <c r="G82" s="35">
        <f t="shared" ref="G82" si="6">E82*F82</f>
        <v>700</v>
      </c>
    </row>
    <row r="83" spans="1:7" ht="15" x14ac:dyDescent="0.25">
      <c r="A83" s="34">
        <f t="shared" si="5"/>
        <v>77</v>
      </c>
      <c r="B83" s="278" t="s">
        <v>708</v>
      </c>
      <c r="C83" s="278"/>
      <c r="D83" s="45" t="s">
        <v>322</v>
      </c>
      <c r="E83" s="45">
        <v>2</v>
      </c>
      <c r="F83" s="35">
        <f>300*1.04*1.05</f>
        <v>327.60000000000002</v>
      </c>
      <c r="G83" s="35">
        <f>E83*F83</f>
        <v>655.20000000000005</v>
      </c>
    </row>
    <row r="84" spans="1:7" ht="15" x14ac:dyDescent="0.25">
      <c r="A84" s="34">
        <f t="shared" si="5"/>
        <v>78</v>
      </c>
      <c r="B84" s="278" t="s">
        <v>506</v>
      </c>
      <c r="C84" s="278"/>
      <c r="D84" s="45" t="s">
        <v>322</v>
      </c>
      <c r="E84" s="45">
        <v>2</v>
      </c>
      <c r="F84" s="35">
        <f>110*1.04*1.05</f>
        <v>120.12</v>
      </c>
      <c r="G84" s="35">
        <f t="shared" si="1"/>
        <v>240.24</v>
      </c>
    </row>
    <row r="85" spans="1:7" ht="15" x14ac:dyDescent="0.25">
      <c r="A85" s="34">
        <f t="shared" si="5"/>
        <v>79</v>
      </c>
      <c r="B85" s="278" t="s">
        <v>709</v>
      </c>
      <c r="C85" s="278"/>
      <c r="D85" s="45" t="s">
        <v>322</v>
      </c>
      <c r="E85" s="45">
        <v>2</v>
      </c>
      <c r="F85" s="35">
        <f>220*1.04*1.05</f>
        <v>240.24</v>
      </c>
      <c r="G85" s="35">
        <f t="shared" si="1"/>
        <v>480.48</v>
      </c>
    </row>
    <row r="86" spans="1:7" ht="15" x14ac:dyDescent="0.25">
      <c r="A86" s="34">
        <f t="shared" si="5"/>
        <v>80</v>
      </c>
      <c r="B86" s="289" t="s">
        <v>507</v>
      </c>
      <c r="C86" s="289"/>
      <c r="D86" s="45" t="s">
        <v>322</v>
      </c>
      <c r="E86" s="45">
        <v>2</v>
      </c>
      <c r="F86" s="35">
        <f>80*1.04*1.05</f>
        <v>87.360000000000014</v>
      </c>
      <c r="G86" s="35">
        <f t="shared" si="1"/>
        <v>174.72000000000003</v>
      </c>
    </row>
    <row r="87" spans="1:7" ht="15" customHeight="1" x14ac:dyDescent="0.25">
      <c r="A87" s="34">
        <f t="shared" si="5"/>
        <v>81</v>
      </c>
      <c r="B87" s="290" t="s">
        <v>799</v>
      </c>
      <c r="C87" s="291"/>
      <c r="D87" s="212" t="s">
        <v>322</v>
      </c>
      <c r="E87" s="213">
        <v>2</v>
      </c>
      <c r="F87" s="28">
        <v>216</v>
      </c>
      <c r="G87" s="28">
        <f t="shared" si="1"/>
        <v>432</v>
      </c>
    </row>
    <row r="88" spans="1:7" ht="15" x14ac:dyDescent="0.25">
      <c r="A88" s="34">
        <f t="shared" si="5"/>
        <v>82</v>
      </c>
      <c r="B88" s="289" t="s">
        <v>508</v>
      </c>
      <c r="C88" s="289"/>
      <c r="D88" s="45" t="s">
        <v>322</v>
      </c>
      <c r="E88" s="45">
        <v>2</v>
      </c>
      <c r="F88" s="35">
        <f>190*1.04*1.05</f>
        <v>207.48</v>
      </c>
      <c r="G88" s="35">
        <f>E88*F88</f>
        <v>414.96</v>
      </c>
    </row>
    <row r="89" spans="1:7" ht="15" x14ac:dyDescent="0.25">
      <c r="A89" s="34">
        <f t="shared" si="5"/>
        <v>83</v>
      </c>
      <c r="B89" s="290" t="s">
        <v>800</v>
      </c>
      <c r="C89" s="291"/>
      <c r="D89" s="212" t="s">
        <v>801</v>
      </c>
      <c r="E89" s="213">
        <v>1</v>
      </c>
      <c r="F89" s="28">
        <v>350</v>
      </c>
      <c r="G89" s="28">
        <f t="shared" ref="G89" si="7">E89*F89</f>
        <v>350</v>
      </c>
    </row>
    <row r="90" spans="1:7" ht="15" x14ac:dyDescent="0.25">
      <c r="A90" s="34">
        <f t="shared" si="5"/>
        <v>84</v>
      </c>
      <c r="B90" s="289" t="s">
        <v>710</v>
      </c>
      <c r="C90" s="289"/>
      <c r="D90" s="45" t="s">
        <v>322</v>
      </c>
      <c r="E90" s="45">
        <v>2</v>
      </c>
      <c r="F90" s="35">
        <f>280*1.04*1.05</f>
        <v>305.76</v>
      </c>
      <c r="G90" s="35">
        <f>E90*F90</f>
        <v>611.52</v>
      </c>
    </row>
    <row r="91" spans="1:7" ht="15" x14ac:dyDescent="0.25">
      <c r="A91" s="34">
        <f t="shared" si="5"/>
        <v>85</v>
      </c>
      <c r="B91" s="289" t="s">
        <v>509</v>
      </c>
      <c r="C91" s="289"/>
      <c r="D91" s="45" t="s">
        <v>322</v>
      </c>
      <c r="E91" s="45">
        <v>6</v>
      </c>
      <c r="F91" s="35">
        <f>220*1.04*1.05</f>
        <v>240.24</v>
      </c>
      <c r="G91" s="35">
        <f t="shared" ref="G91" si="8">E91*F91</f>
        <v>1441.44</v>
      </c>
    </row>
    <row r="92" spans="1:7" ht="15" x14ac:dyDescent="0.25">
      <c r="A92" s="34">
        <f t="shared" si="5"/>
        <v>86</v>
      </c>
      <c r="B92" s="280" t="s">
        <v>711</v>
      </c>
      <c r="C92" s="281"/>
      <c r="D92" s="45" t="s">
        <v>322</v>
      </c>
      <c r="E92" s="45">
        <v>1</v>
      </c>
      <c r="F92" s="35">
        <f>550*1.04*1.05</f>
        <v>600.6</v>
      </c>
      <c r="G92" s="35">
        <f t="shared" si="1"/>
        <v>600.6</v>
      </c>
    </row>
    <row r="93" spans="1:7" ht="15" x14ac:dyDescent="0.25">
      <c r="A93" s="34">
        <f t="shared" si="5"/>
        <v>87</v>
      </c>
      <c r="B93" s="280" t="s">
        <v>712</v>
      </c>
      <c r="C93" s="281"/>
      <c r="D93" s="45" t="s">
        <v>322</v>
      </c>
      <c r="E93" s="45">
        <v>1</v>
      </c>
      <c r="F93" s="35">
        <f>450*1.04*1.05</f>
        <v>491.40000000000003</v>
      </c>
      <c r="G93" s="35">
        <f t="shared" si="1"/>
        <v>491.40000000000003</v>
      </c>
    </row>
    <row r="94" spans="1:7" ht="15" x14ac:dyDescent="0.25">
      <c r="A94" s="34">
        <f t="shared" si="5"/>
        <v>88</v>
      </c>
      <c r="B94" s="278" t="s">
        <v>713</v>
      </c>
      <c r="C94" s="278"/>
      <c r="D94" s="45" t="s">
        <v>322</v>
      </c>
      <c r="E94" s="45">
        <v>0</v>
      </c>
      <c r="F94" s="35">
        <f>250*1.04*1.05</f>
        <v>273</v>
      </c>
      <c r="G94" s="35">
        <f t="shared" si="1"/>
        <v>0</v>
      </c>
    </row>
    <row r="95" spans="1:7" ht="15" x14ac:dyDescent="0.25">
      <c r="A95" s="34">
        <f t="shared" si="5"/>
        <v>89</v>
      </c>
      <c r="B95" s="278" t="s">
        <v>714</v>
      </c>
      <c r="C95" s="278"/>
      <c r="D95" s="45" t="s">
        <v>322</v>
      </c>
      <c r="E95" s="45">
        <v>2</v>
      </c>
      <c r="F95" s="35">
        <f>80*1.04*1.05</f>
        <v>87.360000000000014</v>
      </c>
      <c r="G95" s="35">
        <f t="shared" si="1"/>
        <v>174.72000000000003</v>
      </c>
    </row>
    <row r="96" spans="1:7" ht="15" x14ac:dyDescent="0.25">
      <c r="A96" s="34">
        <f t="shared" si="5"/>
        <v>90</v>
      </c>
      <c r="B96" s="278" t="s">
        <v>715</v>
      </c>
      <c r="C96" s="278"/>
      <c r="D96" s="45" t="s">
        <v>322</v>
      </c>
      <c r="E96" s="45">
        <v>5</v>
      </c>
      <c r="F96" s="35">
        <f>60*1.04*1.05</f>
        <v>65.52000000000001</v>
      </c>
      <c r="G96" s="35">
        <f>E96*F96</f>
        <v>327.60000000000002</v>
      </c>
    </row>
    <row r="97" spans="1:7" ht="15" x14ac:dyDescent="0.25">
      <c r="A97" s="34">
        <f t="shared" si="5"/>
        <v>91</v>
      </c>
      <c r="B97" s="278" t="s">
        <v>716</v>
      </c>
      <c r="C97" s="278"/>
      <c r="D97" s="45" t="s">
        <v>322</v>
      </c>
      <c r="E97" s="45">
        <v>1</v>
      </c>
      <c r="F97" s="35">
        <f>220*1.04*1.05</f>
        <v>240.24</v>
      </c>
      <c r="G97" s="35">
        <f t="shared" si="1"/>
        <v>240.24</v>
      </c>
    </row>
    <row r="98" spans="1:7" ht="15" x14ac:dyDescent="0.25">
      <c r="A98" s="34">
        <f t="shared" si="5"/>
        <v>92</v>
      </c>
      <c r="B98" s="278" t="s">
        <v>717</v>
      </c>
      <c r="C98" s="278"/>
      <c r="D98" s="45" t="s">
        <v>322</v>
      </c>
      <c r="E98" s="45">
        <v>2</v>
      </c>
      <c r="F98" s="35">
        <f>140*1.04*1.05</f>
        <v>152.88</v>
      </c>
      <c r="G98" s="35">
        <f t="shared" si="1"/>
        <v>305.76</v>
      </c>
    </row>
    <row r="99" spans="1:7" ht="13.9" customHeight="1" x14ac:dyDescent="0.25">
      <c r="A99" s="34">
        <f t="shared" si="5"/>
        <v>93</v>
      </c>
      <c r="B99" s="278" t="s">
        <v>465</v>
      </c>
      <c r="C99" s="278"/>
      <c r="D99" s="45" t="s">
        <v>322</v>
      </c>
      <c r="E99" s="45">
        <v>1</v>
      </c>
      <c r="F99" s="35">
        <f>400*1.04*1.05</f>
        <v>436.8</v>
      </c>
      <c r="G99" s="35">
        <f>E99*F99</f>
        <v>436.8</v>
      </c>
    </row>
    <row r="100" spans="1:7" ht="13.9" customHeight="1" x14ac:dyDescent="0.25">
      <c r="A100" s="34">
        <f t="shared" si="5"/>
        <v>94</v>
      </c>
      <c r="B100" s="278" t="s">
        <v>466</v>
      </c>
      <c r="C100" s="278"/>
      <c r="D100" s="45" t="s">
        <v>322</v>
      </c>
      <c r="E100" s="45">
        <v>1</v>
      </c>
      <c r="F100" s="35">
        <f>500*1.04*1.05</f>
        <v>546</v>
      </c>
      <c r="G100" s="35">
        <f t="shared" ref="G100:G103" si="9">E100*F100</f>
        <v>546</v>
      </c>
    </row>
    <row r="101" spans="1:7" ht="13.9" customHeight="1" x14ac:dyDescent="0.25">
      <c r="A101" s="34">
        <f t="shared" si="5"/>
        <v>95</v>
      </c>
      <c r="B101" s="278" t="s">
        <v>368</v>
      </c>
      <c r="C101" s="278"/>
      <c r="D101" s="45" t="s">
        <v>322</v>
      </c>
      <c r="E101" s="45">
        <v>1</v>
      </c>
      <c r="F101" s="35">
        <f>320*1.04*1.05</f>
        <v>349.44000000000005</v>
      </c>
      <c r="G101" s="35">
        <f>E101*F101</f>
        <v>349.44000000000005</v>
      </c>
    </row>
    <row r="102" spans="1:7" ht="13.9" customHeight="1" x14ac:dyDescent="0.25">
      <c r="A102" s="34">
        <f t="shared" si="5"/>
        <v>96</v>
      </c>
      <c r="B102" s="278" t="s">
        <v>467</v>
      </c>
      <c r="C102" s="278"/>
      <c r="D102" s="45" t="s">
        <v>322</v>
      </c>
      <c r="E102" s="45">
        <v>1</v>
      </c>
      <c r="F102" s="43">
        <f>500*1.04*1.05</f>
        <v>546</v>
      </c>
      <c r="G102" s="35">
        <f t="shared" si="9"/>
        <v>546</v>
      </c>
    </row>
    <row r="103" spans="1:7" ht="13.9" customHeight="1" x14ac:dyDescent="0.25">
      <c r="A103" s="34">
        <f t="shared" si="5"/>
        <v>97</v>
      </c>
      <c r="B103" s="278" t="s">
        <v>468</v>
      </c>
      <c r="C103" s="278"/>
      <c r="D103" s="45" t="s">
        <v>469</v>
      </c>
      <c r="E103" s="45">
        <v>1</v>
      </c>
      <c r="F103" s="43">
        <f>80*1.04*1.05</f>
        <v>87.360000000000014</v>
      </c>
      <c r="G103" s="35">
        <f t="shared" si="9"/>
        <v>87.360000000000014</v>
      </c>
    </row>
    <row r="104" spans="1:7" ht="13.9" customHeight="1" x14ac:dyDescent="0.25">
      <c r="A104" s="34">
        <f t="shared" si="5"/>
        <v>98</v>
      </c>
      <c r="B104" s="278" t="s">
        <v>718</v>
      </c>
      <c r="C104" s="278"/>
      <c r="D104" s="45" t="s">
        <v>322</v>
      </c>
      <c r="E104" s="45">
        <v>1</v>
      </c>
      <c r="F104" s="35">
        <f>1600*1.04*1.05</f>
        <v>1747.2</v>
      </c>
      <c r="G104" s="35">
        <f t="shared" ref="G104" si="10">E104*F104</f>
        <v>1747.2</v>
      </c>
    </row>
    <row r="105" spans="1:7" ht="13.9" customHeight="1" x14ac:dyDescent="0.25">
      <c r="A105" s="34">
        <f t="shared" si="5"/>
        <v>99</v>
      </c>
      <c r="B105" s="278" t="s">
        <v>719</v>
      </c>
      <c r="C105" s="278"/>
      <c r="D105" s="45" t="s">
        <v>322</v>
      </c>
      <c r="E105" s="45">
        <v>1</v>
      </c>
      <c r="F105" s="35">
        <f>550*1.04*1.05</f>
        <v>600.6</v>
      </c>
      <c r="G105" s="35">
        <f t="shared" si="1"/>
        <v>600.6</v>
      </c>
    </row>
    <row r="106" spans="1:7" ht="13.9" customHeight="1" x14ac:dyDescent="0.25">
      <c r="A106" s="34">
        <f t="shared" si="5"/>
        <v>100</v>
      </c>
      <c r="B106" s="278" t="s">
        <v>720</v>
      </c>
      <c r="C106" s="278"/>
      <c r="D106" s="45" t="s">
        <v>322</v>
      </c>
      <c r="E106" s="45">
        <v>1</v>
      </c>
      <c r="F106" s="35">
        <f>50*1.04*1.05</f>
        <v>54.6</v>
      </c>
      <c r="G106" s="35">
        <f t="shared" ref="G106" si="11">E106*F106</f>
        <v>54.6</v>
      </c>
    </row>
    <row r="107" spans="1:7" ht="13.9" customHeight="1" x14ac:dyDescent="0.25">
      <c r="A107" s="292" t="s">
        <v>4</v>
      </c>
      <c r="B107" s="293"/>
      <c r="C107" s="293"/>
      <c r="D107" s="293"/>
      <c r="E107" s="293"/>
      <c r="F107" s="294"/>
      <c r="G107" s="19">
        <f>SUM(G7:G106)</f>
        <v>149253.92000000001</v>
      </c>
    </row>
    <row r="108" spans="1:7" ht="20.25" customHeight="1" x14ac:dyDescent="0.25"/>
    <row r="109" spans="1:7" ht="27.2" customHeight="1" x14ac:dyDescent="0.25">
      <c r="A109" s="295" t="s">
        <v>327</v>
      </c>
      <c r="B109" s="295"/>
      <c r="C109" s="295"/>
      <c r="D109" s="295"/>
      <c r="E109" s="295"/>
      <c r="F109" s="295"/>
      <c r="G109" s="20">
        <f>G107*0.1</f>
        <v>14925.392000000002</v>
      </c>
    </row>
    <row r="110" spans="1:7" ht="20.25" customHeight="1" x14ac:dyDescent="0.25">
      <c r="A110" s="37" t="s">
        <v>437</v>
      </c>
      <c r="G110" s="27">
        <f>G107+G109</f>
        <v>164179.31200000001</v>
      </c>
    </row>
    <row r="111" spans="1:7" ht="13.9" customHeight="1" x14ac:dyDescent="0.25">
      <c r="A111" s="38"/>
    </row>
  </sheetData>
  <mergeCells count="110">
    <mergeCell ref="B106:C106"/>
    <mergeCell ref="A107:F107"/>
    <mergeCell ref="A109:F109"/>
    <mergeCell ref="B102:C102"/>
    <mergeCell ref="B103:C103"/>
    <mergeCell ref="B104:C104"/>
    <mergeCell ref="B105:C105"/>
    <mergeCell ref="B97:C97"/>
    <mergeCell ref="B98:C98"/>
    <mergeCell ref="B99:C99"/>
    <mergeCell ref="B100:C100"/>
    <mergeCell ref="B101:C101"/>
    <mergeCell ref="B92:C92"/>
    <mergeCell ref="B93:C93"/>
    <mergeCell ref="B94:C94"/>
    <mergeCell ref="B95:C95"/>
    <mergeCell ref="B96:C96"/>
    <mergeCell ref="B84:C84"/>
    <mergeCell ref="B85:C85"/>
    <mergeCell ref="B86:C86"/>
    <mergeCell ref="B88:C88"/>
    <mergeCell ref="B90:C90"/>
    <mergeCell ref="B91:C91"/>
    <mergeCell ref="B87:C87"/>
    <mergeCell ref="B89:C89"/>
    <mergeCell ref="B79:C79"/>
    <mergeCell ref="B80:C80"/>
    <mergeCell ref="B81:C81"/>
    <mergeCell ref="B83:C83"/>
    <mergeCell ref="B74:C74"/>
    <mergeCell ref="B75:C75"/>
    <mergeCell ref="B76:C76"/>
    <mergeCell ref="B77:C77"/>
    <mergeCell ref="B78:C78"/>
    <mergeCell ref="B82:C82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55:C55"/>
    <mergeCell ref="B57:C57"/>
    <mergeCell ref="B58:C58"/>
    <mergeCell ref="B59:C59"/>
    <mergeCell ref="B60:C60"/>
    <mergeCell ref="B63:C63"/>
    <mergeCell ref="B51:C51"/>
    <mergeCell ref="B52:C52"/>
    <mergeCell ref="B53:C53"/>
    <mergeCell ref="B54:C54"/>
    <mergeCell ref="B56:C56"/>
    <mergeCell ref="B61:C61"/>
    <mergeCell ref="B62:C62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23:C23"/>
    <mergeCell ref="B25:C25"/>
    <mergeCell ref="B26:C26"/>
    <mergeCell ref="B27:C27"/>
    <mergeCell ref="B28:C28"/>
    <mergeCell ref="B18:C18"/>
    <mergeCell ref="B19:C19"/>
    <mergeCell ref="B20:C20"/>
    <mergeCell ref="B21:C21"/>
    <mergeCell ref="B22:C22"/>
    <mergeCell ref="B24:C24"/>
    <mergeCell ref="B14:C14"/>
    <mergeCell ref="B15:C15"/>
    <mergeCell ref="B16:C16"/>
    <mergeCell ref="B17:C17"/>
    <mergeCell ref="B7:C7"/>
    <mergeCell ref="B8:C8"/>
    <mergeCell ref="B9:C9"/>
    <mergeCell ref="B10:C10"/>
    <mergeCell ref="B11:C11"/>
    <mergeCell ref="B12:C12"/>
    <mergeCell ref="E1:G1"/>
    <mergeCell ref="B2:G2"/>
    <mergeCell ref="A5:A6"/>
    <mergeCell ref="B5:C6"/>
    <mergeCell ref="D5:D6"/>
    <mergeCell ref="E5:E6"/>
    <mergeCell ref="F5:F6"/>
    <mergeCell ref="G5:G6"/>
    <mergeCell ref="B13:C13"/>
  </mergeCells>
  <pageMargins left="0.70866141732283472" right="0.70866141732283472" top="0.35433070866141736" bottom="0.35433070866141736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Нормы расчет</vt:lpstr>
      <vt:lpstr>нормативы ОС</vt:lpstr>
      <vt:lpstr>нормативы канцелярия</vt:lpstr>
      <vt:lpstr>нормативы хозяйственные</vt:lpstr>
      <vt:lpstr>'нормативы канцелярия'!Область_печати</vt:lpstr>
      <vt:lpstr>'нормативы ОС'!Область_печати</vt:lpstr>
      <vt:lpstr>'нормативы хозяйственные'!Область_печати</vt:lpstr>
      <vt:lpstr>'Нормы расчет'!Область_печати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2025-07-08T11:10:55Z</dcterms:modified>
</cp:coreProperties>
</file>